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71" activeTab="0"/>
  </bookViews>
  <sheets>
    <sheet name="Summary" sheetId="1" r:id="rId1"/>
    <sheet name="Players" sheetId="2" r:id="rId2"/>
    <sheet name="Adkisson" sheetId="3" r:id="rId3"/>
    <sheet name="Barton" sheetId="4" r:id="rId4"/>
    <sheet name="Berdie" sheetId="5" r:id="rId5"/>
    <sheet name="Biegler" sheetId="6" r:id="rId6"/>
    <sheet name="Boyd A" sheetId="7" r:id="rId7"/>
    <sheet name="Chaplin" sheetId="8" r:id="rId8"/>
    <sheet name="Chockalingam" sheetId="9" r:id="rId9"/>
    <sheet name="Fernald" sheetId="10" r:id="rId10"/>
    <sheet name="Hunt" sheetId="11" r:id="rId11"/>
    <sheet name="Krenz" sheetId="12" r:id="rId12"/>
    <sheet name="Kuhn" sheetId="13" r:id="rId13"/>
    <sheet name="Kumar" sheetId="14" r:id="rId14"/>
    <sheet name="Losurdo" sheetId="15" r:id="rId15"/>
    <sheet name="Mehta" sheetId="16" r:id="rId16"/>
    <sheet name="Meinen" sheetId="17" r:id="rId17"/>
    <sheet name="Rittenhouse" sheetId="18" r:id="rId18"/>
    <sheet name="Roberts" sheetId="19" r:id="rId19"/>
    <sheet name="Wilt" sheetId="20" r:id="rId20"/>
    <sheet name="WoodfordB" sheetId="21" r:id="rId21"/>
    <sheet name="WoodfordW" sheetId="22" r:id="rId22"/>
  </sheets>
  <definedNames>
    <definedName name="_xlnm.Print_Area" localSheetId="0">'Summary'!$A$1:$V$40</definedName>
  </definedNames>
  <calcPr fullCalcOnLoad="1"/>
</workbook>
</file>

<file path=xl/sharedStrings.xml><?xml version="1.0" encoding="utf-8"?>
<sst xmlns="http://schemas.openxmlformats.org/spreadsheetml/2006/main" count="3153" uniqueCount="809">
  <si>
    <t>FOOTBALL  TEAM  SALARIES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</si>
  <si>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</si>
  <si>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</si>
  <si>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</si>
  <si>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</si>
  <si>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</si>
  <si>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</si>
  <si>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</si>
  <si>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</si>
  <si>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</si>
  <si>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</si>
  <si>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Mike Fernald</t>
  </si>
  <si>
    <t>Ray Berdie</t>
  </si>
  <si>
    <t>Bill Woodford</t>
  </si>
  <si>
    <t>Hyrum Hunt</t>
  </si>
  <si>
    <t>Kurt Krenz</t>
  </si>
  <si>
    <t>Ben Woodford</t>
  </si>
  <si>
    <t>Rob Barton</t>
  </si>
  <si>
    <t>Jim Rittenhouse</t>
  </si>
  <si>
    <t>Andy Boyd</t>
  </si>
  <si>
    <t>Joey Losurdo</t>
  </si>
  <si>
    <t>John Adkisson</t>
  </si>
  <si>
    <t>Mike Kuhn</t>
  </si>
  <si>
    <t>Kannan Chockalingam</t>
  </si>
  <si>
    <t>Hermann Meinen</t>
  </si>
  <si>
    <t>Saumil Mehta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</si>
  <si>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</si>
  <si>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</si>
  <si>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</si>
  <si>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</si>
  <si>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</si>
  <si>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</si>
  <si>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</si>
  <si>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</si>
  <si>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</si>
  <si>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</si>
  <si>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</si>
  <si>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</si>
  <si>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</si>
  <si>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</si>
  <si>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</si>
  <si>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</si>
  <si>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</si>
  <si>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</si>
  <si>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</si>
  <si>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</si>
  <si>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</si>
  <si>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</si>
  <si>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</si>
  <si>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</si>
  <si>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</si>
  <si>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</si>
  <si>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</si>
  <si>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</si>
  <si>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</si>
  <si>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</si>
  <si>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</si>
  <si>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</si>
  <si>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</si>
  <si>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</si>
  <si>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</si>
  <si>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</si>
  <si>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</si>
  <si>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Gage, Justin</t>
  </si>
  <si>
    <t>Ten</t>
  </si>
  <si>
    <t>FA</t>
  </si>
  <si>
    <t>Atogwe, Oshiomogho</t>
  </si>
  <si>
    <t>Stl</t>
  </si>
  <si>
    <t>Charles, Jamaal</t>
  </si>
  <si>
    <t>KC</t>
  </si>
  <si>
    <t>Bigby, Atari</t>
  </si>
  <si>
    <t>GB</t>
  </si>
  <si>
    <t>Jackson, DeSean</t>
  </si>
  <si>
    <t>Phi</t>
  </si>
  <si>
    <t>Hart, Mike</t>
  </si>
  <si>
    <t>Ind</t>
  </si>
  <si>
    <t>Russell, JaMarcus</t>
  </si>
  <si>
    <t>Oak</t>
  </si>
  <si>
    <t>NO</t>
  </si>
  <si>
    <t>Revis, Darrelle</t>
  </si>
  <si>
    <t>NYJ</t>
  </si>
  <si>
    <t>Kampman, Aaron</t>
  </si>
  <si>
    <t>Atl</t>
  </si>
  <si>
    <t>Jac</t>
  </si>
  <si>
    <t>Graham, Earnest</t>
  </si>
  <si>
    <t>TB</t>
  </si>
  <si>
    <t>NYG</t>
  </si>
  <si>
    <t>Sea</t>
  </si>
  <si>
    <t>NE</t>
  </si>
  <si>
    <t>Ari</t>
  </si>
  <si>
    <t>Det</t>
  </si>
  <si>
    <t>Sproles, Darren</t>
  </si>
  <si>
    <t>SD</t>
  </si>
  <si>
    <t>WAIVED PLAYER CONTRACTS</t>
  </si>
  <si>
    <t>Waive</t>
  </si>
  <si>
    <t>Carter, Drew</t>
  </si>
  <si>
    <t>Thompson, Tyson</t>
  </si>
  <si>
    <t>Dal</t>
  </si>
  <si>
    <t>Cin</t>
  </si>
  <si>
    <t>Pit</t>
  </si>
  <si>
    <t>Car</t>
  </si>
  <si>
    <t>Mia</t>
  </si>
  <si>
    <t>Anderson, Mark</t>
  </si>
  <si>
    <t>Chi</t>
  </si>
  <si>
    <t>TRADE ADJUSTMENTS</t>
  </si>
  <si>
    <t>Players Traded</t>
  </si>
  <si>
    <t>Adj.</t>
  </si>
  <si>
    <t>McFadden, Darren</t>
  </si>
  <si>
    <t>Bulluck, Keith</t>
  </si>
  <si>
    <t>Avery, Donnie</t>
  </si>
  <si>
    <t>Shockey, Jeremy</t>
  </si>
  <si>
    <t>Furrey, Mike</t>
  </si>
  <si>
    <t>Jones, Jacoby</t>
  </si>
  <si>
    <t>Hou</t>
  </si>
  <si>
    <t>Beck, John</t>
  </si>
  <si>
    <t>Anderson, Jamaal</t>
  </si>
  <si>
    <t>Griffin, Michael</t>
  </si>
  <si>
    <t>Washington, Leon</t>
  </si>
  <si>
    <t>Bryant, Matt</t>
  </si>
  <si>
    <t>Huff, Michael</t>
  </si>
  <si>
    <t>Bal</t>
  </si>
  <si>
    <t>Williams, Roy</t>
  </si>
  <si>
    <t>Davis, Dominick</t>
  </si>
  <si>
    <t>Den</t>
  </si>
  <si>
    <t>Min</t>
  </si>
  <si>
    <t>Samuel, Asante</t>
  </si>
  <si>
    <t>Woodson, Charles</t>
  </si>
  <si>
    <t>Smith, Kolby</t>
  </si>
  <si>
    <t>Vanden Bosch, Kyle</t>
  </si>
  <si>
    <t>Jackson, Chad</t>
  </si>
  <si>
    <t>Ryan, Matt</t>
  </si>
  <si>
    <t>SF</t>
  </si>
  <si>
    <t>Was</t>
  </si>
  <si>
    <t>Mendenhall, Rashard</t>
  </si>
  <si>
    <t>Hightower, Tim</t>
  </si>
  <si>
    <t>Harvey, Derrick</t>
  </si>
  <si>
    <t>Nelson, Jordy</t>
  </si>
  <si>
    <t>Cotchery, Jerricho</t>
  </si>
  <si>
    <t>Hester, Devin</t>
  </si>
  <si>
    <t>Henderson, EJ</t>
  </si>
  <si>
    <t>Quinn, Brady</t>
  </si>
  <si>
    <t>Cle</t>
  </si>
  <si>
    <t>Williams, DeAngelo</t>
  </si>
  <si>
    <t>Norwood, Jerious</t>
  </si>
  <si>
    <t>Crosby, Mason</t>
  </si>
  <si>
    <t>Lewis, Marcedes</t>
  </si>
  <si>
    <t>Jax</t>
  </si>
  <si>
    <t>Marshall, Brandon</t>
  </si>
  <si>
    <t>Russell, Gary</t>
  </si>
  <si>
    <t>Bell, Mike</t>
  </si>
  <si>
    <t>Vasher, Nathan</t>
  </si>
  <si>
    <t>Lawson, Manny</t>
  </si>
  <si>
    <t>Wilson, Travis</t>
  </si>
  <si>
    <t>Pennington, Chad</t>
  </si>
  <si>
    <t>Scobee, Josh</t>
  </si>
  <si>
    <t>Brees, Drew</t>
  </si>
  <si>
    <t>Forte, Matt</t>
  </si>
  <si>
    <t>Slaton, Steve</t>
  </si>
  <si>
    <t>McKelvin, Leodis</t>
  </si>
  <si>
    <t>Buf</t>
  </si>
  <si>
    <t>Johnson, Calvin</t>
  </si>
  <si>
    <t>Urlacher, Brian</t>
  </si>
  <si>
    <t>Olsen, Greg</t>
  </si>
  <si>
    <t>Bush, Reggie</t>
  </si>
  <si>
    <t>Pierce, Antonio</t>
  </si>
  <si>
    <t>Carter, Andre</t>
  </si>
  <si>
    <t>Gostkowski, Stephen</t>
  </si>
  <si>
    <t>Jackson, Tarvaris</t>
  </si>
  <si>
    <t>Moss, Sinorice</t>
  </si>
  <si>
    <t>Whitner, Donte</t>
  </si>
  <si>
    <t>Jones, Kevin</t>
  </si>
  <si>
    <t>Keller, Dustin</t>
  </si>
  <si>
    <t>Torain, Ryan</t>
  </si>
  <si>
    <t>Crayton, Patrick</t>
  </si>
  <si>
    <t>Morrison, Kirk</t>
  </si>
  <si>
    <t>Durant, Justin</t>
  </si>
  <si>
    <t>Posluszny, Paul</t>
  </si>
  <si>
    <t>Kolb, Kevin</t>
  </si>
  <si>
    <t>Stanton, Drew</t>
  </si>
  <si>
    <t>Folk, Nick</t>
  </si>
  <si>
    <t>Johnson, Andre</t>
  </si>
  <si>
    <t>Crowell, Angelo</t>
  </si>
  <si>
    <t>Bethea, Antoine</t>
  </si>
  <si>
    <t>Davis, Thomas</t>
  </si>
  <si>
    <t>Bradley, Mark</t>
  </si>
  <si>
    <t>Jackson, Darrell</t>
  </si>
  <si>
    <t>Tuck, Justin</t>
  </si>
  <si>
    <t>Sweed, Limas</t>
  </si>
  <si>
    <t>Pollard, Bernard</t>
  </si>
  <si>
    <t>Wolfe, Garrett</t>
  </si>
  <si>
    <t>Talib, Aqib</t>
  </si>
  <si>
    <t>Warren, Ty</t>
  </si>
  <si>
    <t>Fargas, Justin</t>
  </si>
  <si>
    <t>Ward, Derrick</t>
  </si>
  <si>
    <t>Wilhelm, Matt</t>
  </si>
  <si>
    <t>Calhoun, Brian</t>
  </si>
  <si>
    <t>Ogunleye, Adewale</t>
  </si>
  <si>
    <t>Sims, Ernie</t>
  </si>
  <si>
    <t>Scheffler, Tony</t>
  </si>
  <si>
    <t>Jones, Felix</t>
  </si>
  <si>
    <t>Taylor, Courtney</t>
  </si>
  <si>
    <t>Manningham, Mario</t>
  </si>
  <si>
    <t>Phillips, Shaun</t>
  </si>
  <si>
    <t>Hall, Andre</t>
  </si>
  <si>
    <t>Allen, Jared</t>
  </si>
  <si>
    <t>Landry, LaRon</t>
  </si>
  <si>
    <t>Moss, Santana</t>
  </si>
  <si>
    <t>Hasselbeck, Matt</t>
  </si>
  <si>
    <t>Trufant, Marcus</t>
  </si>
  <si>
    <t>Shianco, Visanthe</t>
  </si>
  <si>
    <t>Williams, Mario</t>
  </si>
  <si>
    <t>Klopfenstein, Joe</t>
  </si>
  <si>
    <t>Hunt, Tony</t>
  </si>
  <si>
    <t>Boldin, Anquan</t>
  </si>
  <si>
    <t>Johnson, Chris</t>
  </si>
  <si>
    <t>Peterson, Adrian</t>
  </si>
  <si>
    <t>Henry, Chris</t>
  </si>
  <si>
    <t>Hope, Chris</t>
  </si>
  <si>
    <t>Davis, Craig</t>
  </si>
  <si>
    <t>Cole, Trent</t>
  </si>
  <si>
    <t>Smith, Steve</t>
  </si>
  <si>
    <t>White, LenDale</t>
  </si>
  <si>
    <t>Clements, Nate</t>
  </si>
  <si>
    <t>Pope, Leonard</t>
  </si>
  <si>
    <t>Ryans, DeMeco</t>
  </si>
  <si>
    <t>Allen, Jason</t>
  </si>
  <si>
    <t>Hilton, Zach</t>
  </si>
  <si>
    <t>Avant, Jason</t>
  </si>
  <si>
    <t>Stovall, Maurice</t>
  </si>
  <si>
    <t>Baskett, Hank</t>
  </si>
  <si>
    <t>Lundy, Wali</t>
  </si>
  <si>
    <t>Thomas, Pierre</t>
  </si>
  <si>
    <t>Phillips, Kenny</t>
  </si>
  <si>
    <t>Gholston, Vernon</t>
  </si>
  <si>
    <t>Morgan, Josh</t>
  </si>
  <si>
    <t>Crable, Shawn</t>
  </si>
  <si>
    <t>Spencer, Anthony</t>
  </si>
  <si>
    <t>Bradshaw, Ahmad</t>
  </si>
  <si>
    <t>McGee, Terrence</t>
  </si>
  <si>
    <t>Rice, Sidney</t>
  </si>
  <si>
    <t>Woodley, LaMarr</t>
  </si>
  <si>
    <t>Harrison, James</t>
  </si>
  <si>
    <t>Pace, Calvin</t>
  </si>
  <si>
    <t>Williams, Demetrius</t>
  </si>
  <si>
    <t>Delhomme, Jake</t>
  </si>
  <si>
    <t>Rodgers-Cromartie, D</t>
  </si>
  <si>
    <t>Mix, Anthony</t>
  </si>
  <si>
    <t>Robinson, Michael</t>
  </si>
  <si>
    <t>Porter, Jerry</t>
  </si>
  <si>
    <t>Rice, Ray</t>
  </si>
  <si>
    <t>Lofton, Curtis</t>
  </si>
  <si>
    <t>Dorsey, Glenn</t>
  </si>
  <si>
    <t>Washington, Chauncey</t>
  </si>
  <si>
    <t>Jarrett, Dwayne</t>
  </si>
  <si>
    <t>Weddle, Eric</t>
  </si>
  <si>
    <t>Miller, Zach</t>
  </si>
  <si>
    <t>Howard, Thomas</t>
  </si>
  <si>
    <t>Holmes, Santonio</t>
  </si>
  <si>
    <t>Carpenter, Bobby</t>
  </si>
  <si>
    <t>Hass, Mike</t>
  </si>
  <si>
    <t>Byrd, Dominique</t>
  </si>
  <si>
    <t>Cromartie, Antonio</t>
  </si>
  <si>
    <t>Stewart, Jonathan</t>
  </si>
  <si>
    <t>Smith, LJ</t>
  </si>
  <si>
    <t>Henne, Chad</t>
  </si>
  <si>
    <t>Lewis, Michael</t>
  </si>
  <si>
    <t>Brown, Kris</t>
  </si>
  <si>
    <t>Colston, Marques</t>
  </si>
  <si>
    <t>Muhammad, Muhsin</t>
  </si>
  <si>
    <t>Kerney, Patrick</t>
  </si>
  <si>
    <t>Irons, Kenny</t>
  </si>
  <si>
    <t>Harrison, Rodney</t>
  </si>
  <si>
    <t>Addai, Joseph</t>
  </si>
  <si>
    <t>Schaub, Matt</t>
  </si>
  <si>
    <t>Burgess, Derrick</t>
  </si>
  <si>
    <t>Harper, Roman</t>
  </si>
  <si>
    <t>Wimbley, Kamerion</t>
  </si>
  <si>
    <t>Rosenfels, Sage</t>
  </si>
  <si>
    <t>Flacco, Joe</t>
  </si>
  <si>
    <t>Hester, Jacob</t>
  </si>
  <si>
    <t>Carlson, John</t>
  </si>
  <si>
    <t>Meachem, Robert</t>
  </si>
  <si>
    <t>Fletcher, London</t>
  </si>
  <si>
    <t>Drew, Maurice</t>
  </si>
  <si>
    <t>Morris, Sammy</t>
  </si>
  <si>
    <t>Clemens, Kellen</t>
  </si>
  <si>
    <t>Robinson, Laurent</t>
  </si>
  <si>
    <t>McDonald, Shaun</t>
  </si>
  <si>
    <t>Walter, Kevin</t>
  </si>
  <si>
    <t>Martin, Ruvell</t>
  </si>
  <si>
    <t>Rackers, Neil</t>
  </si>
  <si>
    <t>Thomas, Devin</t>
  </si>
  <si>
    <t>Parrish, Tony</t>
  </si>
  <si>
    <t>Smith, Kevin</t>
  </si>
  <si>
    <t>Jackson, Dexter</t>
  </si>
  <si>
    <t>Stokely, Brandon</t>
  </si>
  <si>
    <t>Bush, Michael</t>
  </si>
  <si>
    <t>Timmons, Lawrence</t>
  </si>
  <si>
    <t>Maroney, Laurence</t>
  </si>
  <si>
    <t>Young, Vince</t>
  </si>
  <si>
    <t>Croyle, Brodie</t>
  </si>
  <si>
    <t>Hali, Tamba</t>
  </si>
  <si>
    <t>Orton, Kyle</t>
  </si>
  <si>
    <t>Mayo, Jerod</t>
  </si>
  <si>
    <t>Kelly, Malcolm</t>
  </si>
  <si>
    <t>Jackson, Brandon</t>
  </si>
  <si>
    <t>Jones, Sean</t>
  </si>
  <si>
    <t>Willis, Patrick</t>
  </si>
  <si>
    <t>Portis, Clinton</t>
  </si>
  <si>
    <t>Gould, Robbie</t>
  </si>
  <si>
    <t>Jennings, Greg</t>
  </si>
  <si>
    <t>Fasano, Anthony</t>
  </si>
  <si>
    <t>Sanders, Bob</t>
  </si>
  <si>
    <t>Harrison, Jerome</t>
  </si>
  <si>
    <t>Scaife, Bo</t>
  </si>
  <si>
    <t>Walter, Andrew</t>
  </si>
  <si>
    <t>Royal, Eddie</t>
  </si>
  <si>
    <t>Longwell, Ryan</t>
  </si>
  <si>
    <t>Long, Chris</t>
  </si>
  <si>
    <t>Doucet, Early</t>
  </si>
  <si>
    <t>Parmele, Jalen</t>
  </si>
  <si>
    <t>Lynch, Marshawn</t>
  </si>
  <si>
    <t>Gonzalez, Anthony</t>
  </si>
  <si>
    <t>Greenway, Chad</t>
  </si>
  <si>
    <t>Jackson, Fred</t>
  </si>
  <si>
    <t>Moss, Jarvis</t>
  </si>
  <si>
    <t>Edwards, Trent</t>
  </si>
  <si>
    <t>Ginn Jr., Ted</t>
  </si>
  <si>
    <t>Grant, Ryan</t>
  </si>
  <si>
    <t>Davis, Vernon</t>
  </si>
  <si>
    <t>Williams, Carnell</t>
  </si>
  <si>
    <t>Asomugha, Nnamdi</t>
  </si>
  <si>
    <t>Marshall, Lemar</t>
  </si>
  <si>
    <t>Hagan, Derek</t>
  </si>
  <si>
    <t>Hardy, James</t>
  </si>
  <si>
    <t>Breaston, Steve</t>
  </si>
  <si>
    <t>Choice, Tashard</t>
  </si>
  <si>
    <t>Daniels, Owen</t>
  </si>
  <si>
    <t>Randle El, Antwaan</t>
  </si>
  <si>
    <t>Cutler, Jay</t>
  </si>
  <si>
    <t>Wright, Dwayne</t>
  </si>
  <si>
    <t>Evans, Lee</t>
  </si>
  <si>
    <t>Ruud, Barrett</t>
  </si>
  <si>
    <t>Jackson, D'Qwell</t>
  </si>
  <si>
    <t>Smith, Troy</t>
  </si>
  <si>
    <t>Bowe, Dwayne</t>
  </si>
  <si>
    <t>Beason, Jon</t>
  </si>
  <si>
    <t>Nelson, Reggie</t>
  </si>
  <si>
    <t>Leinart, Matt</t>
  </si>
  <si>
    <t>Welker, Wes</t>
  </si>
  <si>
    <t>Gradkowski, Bruce</t>
  </si>
  <si>
    <t>Rhodes, Kerry</t>
  </si>
  <si>
    <t>Harris, Chris</t>
  </si>
  <si>
    <t>McIntosh, Rocky</t>
  </si>
  <si>
    <t>Rivers, Keith</t>
  </si>
  <si>
    <t>Franklin, Will</t>
  </si>
  <si>
    <t>Berrian, Bernard</t>
  </si>
  <si>
    <t>Booker, Lorenzo</t>
  </si>
  <si>
    <t>Jones, James</t>
  </si>
  <si>
    <t>Pittman, Antonio</t>
  </si>
  <si>
    <t>Hawk, AJ</t>
  </si>
  <si>
    <t>Mani Kumar</t>
  </si>
  <si>
    <t>Michael Wilt</t>
  </si>
  <si>
    <t>Geoff Biegler</t>
  </si>
  <si>
    <t>Chad Roberts</t>
  </si>
  <si>
    <t>Brown, Donald</t>
  </si>
  <si>
    <t>Iglesias, Joaquin</t>
  </si>
  <si>
    <t>Robiskie, Brian</t>
  </si>
  <si>
    <t>Coffman, Chase</t>
  </si>
  <si>
    <t>Wells, Chris</t>
  </si>
  <si>
    <t>Barden, Ramses</t>
  </si>
  <si>
    <t>Coffee, Glen</t>
  </si>
  <si>
    <t>Moreno, Knowshon</t>
  </si>
  <si>
    <t>Turner, Patrick</t>
  </si>
  <si>
    <t>McCoy, LeSean</t>
  </si>
  <si>
    <t>Butler, Deon</t>
  </si>
  <si>
    <t>Stafford, Matthew</t>
  </si>
  <si>
    <t>Cushing, Brian</t>
  </si>
  <si>
    <t>Harvin, Percy</t>
  </si>
  <si>
    <t>Laurinaitis, James</t>
  </si>
  <si>
    <t>English, Larry</t>
  </si>
  <si>
    <t>Sanchez, Mark</t>
  </si>
  <si>
    <t>Maualuga, Rey</t>
  </si>
  <si>
    <t>Greene, Shonn</t>
  </si>
  <si>
    <t>Crabtree, Michael</t>
  </si>
  <si>
    <t>Brit, Kenny</t>
  </si>
  <si>
    <t>Davis, James</t>
  </si>
  <si>
    <t>Jennings, Rashad</t>
  </si>
  <si>
    <t>Maclin, Jeremy</t>
  </si>
  <si>
    <t>Heyward-Bey, Darrius</t>
  </si>
  <si>
    <t>Nicks, Hakeem</t>
  </si>
  <si>
    <t>Cook, Jared</t>
  </si>
  <si>
    <t>Pettigrew, Brandon</t>
  </si>
  <si>
    <t>Johnson, Gartrell</t>
  </si>
  <si>
    <t>DE</t>
  </si>
  <si>
    <t>Jackson, Tyson</t>
  </si>
  <si>
    <t>Massaquoi, Mohamed</t>
  </si>
  <si>
    <t>Edelman, Julian</t>
  </si>
  <si>
    <t>White, Pat</t>
  </si>
  <si>
    <t>Orakpo, Brian</t>
  </si>
  <si>
    <t>Freeman, Josh</t>
  </si>
  <si>
    <t>Curry, Aaron</t>
  </si>
  <si>
    <t>Williams, Derrick</t>
  </si>
  <si>
    <t>Goodson, Mike</t>
  </si>
  <si>
    <t>Scott, Bernard</t>
  </si>
  <si>
    <t>Collie, Austin</t>
  </si>
  <si>
    <t>Moss, Randy</t>
  </si>
  <si>
    <t>Turner, Michael</t>
  </si>
  <si>
    <t>Brady, Tom</t>
  </si>
  <si>
    <t>Peppers, Julius</t>
  </si>
  <si>
    <t>Suggs, Terrell</t>
  </si>
  <si>
    <t>Collins, Nick</t>
  </si>
  <si>
    <t>Jones, Julius</t>
  </si>
  <si>
    <t>Abraham, John</t>
  </si>
  <si>
    <t>Jones, Thomas</t>
  </si>
  <si>
    <t>Clark, Dallas</t>
  </si>
  <si>
    <t>Moore, Lance</t>
  </si>
  <si>
    <t>Parker, Willie</t>
  </si>
  <si>
    <t>Palmer, Carson</t>
  </si>
  <si>
    <t>Mathis, Robert</t>
  </si>
  <si>
    <t>Cassel, Matt</t>
  </si>
  <si>
    <t>Crowder, Channing</t>
  </si>
  <si>
    <t>James, Bradie</t>
  </si>
  <si>
    <t>Schillens, Chaz</t>
  </si>
  <si>
    <t>Bell, Yeremiah</t>
  </si>
  <si>
    <t>Owens, Terrell</t>
  </si>
  <si>
    <t>Holt, Torry</t>
  </si>
  <si>
    <t>Boss, Kevin</t>
  </si>
  <si>
    <t>Farrior, James</t>
  </si>
  <si>
    <t>Gonzales, Tony</t>
  </si>
  <si>
    <t>Kaeding, Nate</t>
  </si>
  <si>
    <t>Dansby, Karlos</t>
  </si>
  <si>
    <t>Witten, Jason</t>
  </si>
  <si>
    <t>Finnegan, Cortland</t>
  </si>
  <si>
    <t>Hall, Leon</t>
  </si>
  <si>
    <t>Peterson, Julian</t>
  </si>
  <si>
    <t>Tatupu, Lofa</t>
  </si>
  <si>
    <t>Freeney, Dwight</t>
  </si>
  <si>
    <t>Mickell, Quentin</t>
  </si>
  <si>
    <t>Jenkins, Michael</t>
  </si>
  <si>
    <t>Winslow, Kellen</t>
  </si>
  <si>
    <t>Cooper, Stephen</t>
  </si>
  <si>
    <t>Horton, Chris</t>
  </si>
  <si>
    <t>Dawson, Phil</t>
  </si>
  <si>
    <t>Culpepper, Daunte</t>
  </si>
  <si>
    <t>Moore, Mewelde</t>
  </si>
  <si>
    <t>Washington, Nate</t>
  </si>
  <si>
    <t>Smith, Justin</t>
  </si>
  <si>
    <t>Bennet, Earl</t>
  </si>
  <si>
    <t>Janikowski, Sebastian</t>
  </si>
  <si>
    <t>Barnett, Nick</t>
  </si>
  <si>
    <t>Clayton, Michael</t>
  </si>
  <si>
    <t>McClain, Leron</t>
  </si>
  <si>
    <t>Maybin, Aaron</t>
  </si>
  <si>
    <t>Burleson, Nate</t>
  </si>
  <si>
    <t>Rosario, Donte</t>
  </si>
  <si>
    <t>Anderson, Derrick</t>
  </si>
  <si>
    <t>Hanson, Jason</t>
  </si>
  <si>
    <t>Bess, Devone</t>
  </si>
  <si>
    <t>Dumervil, Elvis</t>
  </si>
  <si>
    <t>Delmas, Louis</t>
  </si>
  <si>
    <t>Finley, Jermichael</t>
  </si>
  <si>
    <t>Celek, Brent</t>
  </si>
  <si>
    <t>Tynes, Lawrence</t>
  </si>
  <si>
    <t>Wallace, Seneca</t>
  </si>
  <si>
    <t>Matthews, Clay</t>
  </si>
  <si>
    <t>Cribbs, Joshua</t>
  </si>
  <si>
    <t>Betts, Ladell</t>
  </si>
  <si>
    <t>Austin, Miles</t>
  </si>
  <si>
    <t>Reed, Josh</t>
  </si>
  <si>
    <t>Manning, Danieal</t>
  </si>
  <si>
    <t>Graham, Daniel</t>
  </si>
  <si>
    <t>Cobbs, Patrick</t>
  </si>
  <si>
    <t>Bennet, Martellus</t>
  </si>
  <si>
    <t>Leonhard, Jim</t>
  </si>
  <si>
    <t>Vick, Michael</t>
  </si>
  <si>
    <t>Camarillo, Greg</t>
  </si>
  <si>
    <t>Succup, Ryan</t>
  </si>
  <si>
    <t>Ringer, Javon</t>
  </si>
  <si>
    <t>Smith, Brad</t>
  </si>
  <si>
    <t>Avril, Cliff</t>
  </si>
  <si>
    <t>Kearse, Javon</t>
  </si>
  <si>
    <t>Wilson, Josh</t>
  </si>
  <si>
    <t>Forsett, Justin</t>
  </si>
  <si>
    <t>Harris, Tommie</t>
  </si>
  <si>
    <t>Johnson, Bryant</t>
  </si>
  <si>
    <t>Stuckey, Chansi</t>
  </si>
  <si>
    <t>Cartwright, Rock</t>
  </si>
  <si>
    <t>Trades:</t>
  </si>
  <si>
    <t>Points</t>
  </si>
  <si>
    <t>Tourney</t>
  </si>
  <si>
    <t>Hi Score</t>
  </si>
  <si>
    <t>Win</t>
  </si>
  <si>
    <t>Tony Chaplin</t>
  </si>
  <si>
    <t>Thomas, Demaryius</t>
  </si>
  <si>
    <t>Berry, Eric</t>
  </si>
  <si>
    <t>Rodgers, Aaron</t>
  </si>
  <si>
    <t>FRCH</t>
  </si>
  <si>
    <t>Manning, Peyton</t>
  </si>
  <si>
    <t>Akers, David</t>
  </si>
  <si>
    <t>Hartley, Garrett</t>
  </si>
  <si>
    <t>Suggs Trade</t>
  </si>
  <si>
    <t>Wayne, Reggie</t>
  </si>
  <si>
    <t>Ware, DeMarcus</t>
  </si>
  <si>
    <t>Owens Trade</t>
  </si>
  <si>
    <t>Gore, Frank</t>
  </si>
  <si>
    <t>White, Roddy</t>
  </si>
  <si>
    <t>Harris, David</t>
  </si>
  <si>
    <t>Romo, Tony</t>
  </si>
  <si>
    <t>Hawthorne, David</t>
  </si>
  <si>
    <t>Benson, Cedric</t>
  </si>
  <si>
    <t>Polamalu, Troy</t>
  </si>
  <si>
    <t>Bironas, Rob</t>
  </si>
  <si>
    <t>Fitzgerald, Larry</t>
  </si>
  <si>
    <t>Jackson, Stephen</t>
  </si>
  <si>
    <t>Gates, Antonio</t>
  </si>
  <si>
    <t>Matthews, Ryan</t>
  </si>
  <si>
    <t>Dickson, Ed</t>
  </si>
  <si>
    <t>Best, Jahvid</t>
  </si>
  <si>
    <t>Spillar, CJ</t>
  </si>
  <si>
    <t>Witherspoon, Sean</t>
  </si>
  <si>
    <t>Hardesty, Montario</t>
  </si>
  <si>
    <t>Suh, Ndamukong</t>
  </si>
  <si>
    <t>Dixon, Anthony</t>
  </si>
  <si>
    <t>Bryant, Dez</t>
  </si>
  <si>
    <t>Bradford, Sam</t>
  </si>
  <si>
    <t>Williams, Mike</t>
  </si>
  <si>
    <t>Tate, Golden</t>
  </si>
  <si>
    <t>McCluster, Dexter</t>
  </si>
  <si>
    <t>Benn, Arrelious</t>
  </si>
  <si>
    <t>Clausen, Jimmy</t>
  </si>
  <si>
    <t>Lafell, Brandon</t>
  </si>
  <si>
    <t>Gerhart, Toby</t>
  </si>
  <si>
    <t>Shipley, Jordan</t>
  </si>
  <si>
    <t>Gresham, Jermaine</t>
  </si>
  <si>
    <t>Tate, Ben</t>
  </si>
  <si>
    <t>McKnight, Joe</t>
  </si>
  <si>
    <t>Ochocinco, Chad</t>
  </si>
  <si>
    <t>Lewis, Ray</t>
  </si>
  <si>
    <t>Sharper, Darren</t>
  </si>
  <si>
    <t>Barber, Marion</t>
  </si>
  <si>
    <t>Feely, Jay</t>
  </si>
  <si>
    <t>Miller, Heath</t>
  </si>
  <si>
    <t>Rivers, Phillip</t>
  </si>
  <si>
    <t>Brown, Ronnie</t>
  </si>
  <si>
    <t>Briggs, Lance</t>
  </si>
  <si>
    <t>Gilyard, Marty</t>
  </si>
  <si>
    <t>Pierre-Paul, Jason</t>
  </si>
  <si>
    <t>Thomas, Earl</t>
  </si>
  <si>
    <t>Spikes, Brandon</t>
  </si>
  <si>
    <t>Williams, Damien</t>
  </si>
  <si>
    <t>Tebow, Tim</t>
  </si>
  <si>
    <t>Decker, Eric</t>
  </si>
  <si>
    <t>Gronkowski, Rob</t>
  </si>
  <si>
    <t>Washington, Daryl</t>
  </si>
  <si>
    <t>Sanders, Emmanual</t>
  </si>
  <si>
    <t>Price, Taylor</t>
  </si>
  <si>
    <t>Hernandez, Aaron</t>
  </si>
  <si>
    <t>Graham, Brandon</t>
  </si>
  <si>
    <t>Starks, James</t>
  </si>
  <si>
    <t>Ward, T.J.</t>
  </si>
  <si>
    <t>(1)  Berdie received Fernald's 2011 1st round pick</t>
  </si>
  <si>
    <t>(2)  Rittenhouse received Losurdo's 2011 2nd round pick</t>
  </si>
  <si>
    <t>McCoy, Colt</t>
  </si>
  <si>
    <t>Ward, Hines</t>
  </si>
  <si>
    <t>Cooley, Chris</t>
  </si>
  <si>
    <t>Carpenter, Dan</t>
  </si>
  <si>
    <t>Floyd, Malcolm</t>
  </si>
  <si>
    <t>Thomas, Terrell</t>
  </si>
  <si>
    <t>Jacobs, Brandon</t>
  </si>
  <si>
    <t>Williams, D.J.</t>
  </si>
  <si>
    <t>Favre, Brett</t>
  </si>
  <si>
    <t>Sims-Walker, Mike</t>
  </si>
  <si>
    <t>Goldson, Dashon</t>
  </si>
  <si>
    <t>Joseph, Jonathan</t>
  </si>
  <si>
    <t>Meriweather, Brandon</t>
  </si>
  <si>
    <t>Garcon, Pierre</t>
  </si>
  <si>
    <t>Smith, Will</t>
  </si>
  <si>
    <t>Taylor, Fred</t>
  </si>
  <si>
    <t>Williams, Ricky</t>
  </si>
  <si>
    <t>Smith, Daryl</t>
  </si>
  <si>
    <t>Wilson, Adrian</t>
  </si>
  <si>
    <t>Wallace, Mike</t>
  </si>
  <si>
    <t>Prater, Matt</t>
  </si>
  <si>
    <t>Davis, Fred</t>
  </si>
  <si>
    <t>Merriman, Shawn</t>
  </si>
  <si>
    <t>Vilma, Jonathan</t>
  </si>
  <si>
    <t>Houshmandzadeh, TJ</t>
  </si>
  <si>
    <t>Scott, Bart</t>
  </si>
  <si>
    <t>Smith, Alex</t>
  </si>
  <si>
    <t>Westbrook, Brian</t>
  </si>
  <si>
    <t>Manning, Eli</t>
  </si>
  <si>
    <t>McNabb, Donovan</t>
  </si>
  <si>
    <t>Taylor, Chester</t>
  </si>
  <si>
    <t>Knox, Johnny</t>
  </si>
  <si>
    <t>Johnson, Larry</t>
  </si>
  <si>
    <t>Driver, Donald</t>
  </si>
  <si>
    <t>Watson, Ben</t>
  </si>
  <si>
    <t>Nedney, Joe</t>
  </si>
  <si>
    <t>Session, Clint</t>
  </si>
  <si>
    <t>Hayes, Geno</t>
  </si>
  <si>
    <t>Taylor, Jason</t>
  </si>
  <si>
    <t>Roethlisberger, Ben</t>
  </si>
  <si>
    <t>McGahee, Willis</t>
  </si>
  <si>
    <t>Edwards, Braylon</t>
  </si>
  <si>
    <t>Gonzalez, Tony</t>
  </si>
  <si>
    <t>Mason, Derrick</t>
  </si>
  <si>
    <t>Reed, Jeff</t>
  </si>
  <si>
    <t>Jackson, Tanard</t>
  </si>
  <si>
    <t>Witherspoon, Will</t>
  </si>
  <si>
    <t>Williams, Demorrio</t>
  </si>
  <si>
    <t>Hasselback, Matt</t>
  </si>
  <si>
    <t>Flowers, Brandon</t>
  </si>
  <si>
    <t>Tulloch, Stephen</t>
  </si>
  <si>
    <t>Aromashadu, Devin</t>
  </si>
  <si>
    <t>Garrard, David</t>
  </si>
  <si>
    <t>Edwards, Ray</t>
  </si>
  <si>
    <t>(3)  Roberts received Krenz's 2011 2nd round pick</t>
  </si>
  <si>
    <t>Jackson, Vincent</t>
  </si>
  <si>
    <t>Wilson, George</t>
  </si>
  <si>
    <t>Gaffney, Jabbar</t>
  </si>
  <si>
    <t>Moore, Matt</t>
  </si>
  <si>
    <t>Chambers, Chris</t>
  </si>
  <si>
    <t>Campbell, Jason</t>
  </si>
  <si>
    <t>Rolle, Antrel</t>
  </si>
  <si>
    <t>Foster, Arian</t>
  </si>
  <si>
    <t>Tomlinson, LaDanian</t>
  </si>
  <si>
    <t>(4)  Kumar received Roberts' 2011 1st round pick</t>
  </si>
  <si>
    <t>(5)  Roberts received Kumar's 2011 2nd round pick</t>
  </si>
  <si>
    <t>Bryant, Antonio</t>
  </si>
  <si>
    <t>Umenyiora, Osi</t>
  </si>
  <si>
    <t>Buckhalter, Correll</t>
  </si>
  <si>
    <t>Dawkins, Brian</t>
  </si>
  <si>
    <t>Henderson, Devery</t>
  </si>
  <si>
    <t>Campbell, Calais</t>
  </si>
  <si>
    <t>Faulk, Kevin</t>
  </si>
  <si>
    <t>Carr, David</t>
  </si>
  <si>
    <t>Jones, Dhani</t>
  </si>
  <si>
    <t>Landry, Dawan</t>
  </si>
  <si>
    <t>Thomas, Mike</t>
  </si>
  <si>
    <t>Leftwich, Byron</t>
  </si>
  <si>
    <t>Hardy, Greg</t>
  </si>
  <si>
    <t>Dillard, Jarrett</t>
  </si>
  <si>
    <t>Graham, Jimmy</t>
  </si>
  <si>
    <t>Byrd, Jarius</t>
  </si>
  <si>
    <t>Murphy, Louis</t>
  </si>
  <si>
    <t>Whitehurst, Charlie</t>
  </si>
  <si>
    <t>Peterson, Mike</t>
  </si>
  <si>
    <t>Moeaki, Tony</t>
  </si>
  <si>
    <t>Porter, Tracy</t>
  </si>
  <si>
    <t>Morgan, Derrick</t>
  </si>
  <si>
    <t>Brown, Andre</t>
  </si>
  <si>
    <t>Gibson, Brandon</t>
  </si>
  <si>
    <t>Roberts, Andre</t>
  </si>
  <si>
    <t>Bradley, Stewart</t>
  </si>
  <si>
    <t>Snelling, Jason</t>
  </si>
  <si>
    <t>Hartline, Brian</t>
  </si>
  <si>
    <t>Kiwanuka, Mathias</t>
  </si>
  <si>
    <t>Succop, Ryan</t>
  </si>
  <si>
    <t>Hillis, Peyton</t>
  </si>
  <si>
    <t>Dwyer, Jonathan</t>
  </si>
  <si>
    <t>White, Stylez</t>
  </si>
  <si>
    <t>Williams, Kieland</t>
  </si>
  <si>
    <t>Graham, Shayne</t>
  </si>
  <si>
    <t>Stallworth, Dante</t>
  </si>
  <si>
    <t>Hughes, Jerry</t>
  </si>
  <si>
    <t>Reed, Ed</t>
  </si>
  <si>
    <t>Bulger, Marc</t>
  </si>
  <si>
    <t>Burnett, Morgan</t>
  </si>
  <si>
    <t>Connor, Dan</t>
  </si>
  <si>
    <t>Tillman, Charles</t>
  </si>
  <si>
    <t>Naanee, Legedu</t>
  </si>
  <si>
    <t>Douglas, Harry</t>
  </si>
  <si>
    <t>Karim, Deji</t>
  </si>
  <si>
    <t>Branch, Tyvon</t>
  </si>
  <si>
    <t>Winfield, Antoine</t>
  </si>
  <si>
    <t>Levy, DeAndre</t>
  </si>
  <si>
    <t>Buehler, David</t>
  </si>
  <si>
    <t>Allen, Nate</t>
  </si>
  <si>
    <t>Brown, Everette</t>
  </si>
  <si>
    <t>Tate, Brandon</t>
  </si>
  <si>
    <t>Huggins, Kareem</t>
  </si>
  <si>
    <t>Cruz, Victor</t>
  </si>
  <si>
    <t>Hilliard, Lex</t>
  </si>
  <si>
    <t>(6)  Berdie received the worst of Roberts' 2011 2nd round picks</t>
  </si>
  <si>
    <t>ACTIVE TEAM ROSTER BREAKDOWN</t>
  </si>
  <si>
    <t>Fa</t>
  </si>
  <si>
    <t>McClain, Rolando</t>
  </si>
  <si>
    <t>Clayton, Mark</t>
  </si>
  <si>
    <t>Heap, Todd</t>
  </si>
  <si>
    <t>Boley, Michael</t>
  </si>
  <si>
    <t>Cundiff, Billy</t>
  </si>
  <si>
    <t>Bowman, Zachery</t>
  </si>
  <si>
    <t>Redman, Isaac</t>
  </si>
  <si>
    <t>Dixon, Dennis</t>
  </si>
  <si>
    <t>Brackett, Gary</t>
  </si>
  <si>
    <t>Amendola, Danny</t>
  </si>
  <si>
    <t>Vinatieri, Adam</t>
  </si>
  <si>
    <t>Stroughter, Sammy</t>
  </si>
  <si>
    <t>Volek, Billy</t>
  </si>
  <si>
    <t>Redman, Chris</t>
  </si>
  <si>
    <t>Ellis, Shaun</t>
  </si>
  <si>
    <t>Chung, Patrick</t>
  </si>
  <si>
    <t>Spurlock, Michael</t>
  </si>
  <si>
    <t>Hill, Shaun</t>
  </si>
  <si>
    <t>Lloyd, Brandon</t>
  </si>
  <si>
    <t>Arenas, Javier</t>
  </si>
  <si>
    <t>Kuhn, John</t>
  </si>
  <si>
    <t>Nance, Dimitri</t>
  </si>
  <si>
    <t>Johnson, Derrick</t>
  </si>
  <si>
    <t>Godfrey, Charles</t>
  </si>
  <si>
    <t>Green-Ellis, Ben</t>
  </si>
  <si>
    <t>Manning Trade</t>
  </si>
  <si>
    <t>(7)  Hunt received Fernald's 2011 2nd round pick</t>
  </si>
  <si>
    <t>(8)  Chockalingam received Krenz's 2011 1st round pick</t>
  </si>
  <si>
    <t>Banta-Cain, Tully</t>
  </si>
  <si>
    <t>Tolbert, Mike</t>
  </si>
  <si>
    <t>Wake, Cameron</t>
  </si>
  <si>
    <t>Fitzpatrick, Ryan</t>
  </si>
  <si>
    <t>Cason, Antoine</t>
  </si>
  <si>
    <t>Stephens-Howling, L</t>
  </si>
  <si>
    <t>Anderson, James</t>
  </si>
  <si>
    <t>Branch, Deion</t>
  </si>
  <si>
    <t>Woodhead, Danny</t>
  </si>
  <si>
    <t>Parker, Juqua</t>
  </si>
  <si>
    <t>Crowder, Tim</t>
  </si>
  <si>
    <t>Darby, Kenneth</t>
  </si>
  <si>
    <t>Blounte, LaGarrette</t>
  </si>
  <si>
    <t>Morris, Maurice</t>
  </si>
  <si>
    <t>Nugent, Mike</t>
  </si>
  <si>
    <t>Parrish, Roscoe</t>
  </si>
  <si>
    <t>Williams, Stephen</t>
  </si>
  <si>
    <t>Gano, Graham</t>
  </si>
  <si>
    <t>Lenon, Paris</t>
  </si>
  <si>
    <t>Babin, Jason</t>
  </si>
  <si>
    <t>Batch, Charlie</t>
  </si>
  <si>
    <t>Hayden, Kelvin</t>
  </si>
  <si>
    <t>Evans Trade</t>
  </si>
  <si>
    <t>Clemons, Chris</t>
  </si>
  <si>
    <t>Ivory, Chris</t>
  </si>
  <si>
    <t>Hall, Max</t>
  </si>
  <si>
    <t>Johnson, Stevie</t>
  </si>
  <si>
    <t>Hall, James</t>
  </si>
  <si>
    <t>Carney, John</t>
  </si>
  <si>
    <t>Burnett, Kevin</t>
  </si>
  <si>
    <t>Collins, Todd</t>
  </si>
  <si>
    <t>Brown, Josh</t>
  </si>
  <si>
    <t>Hall, DeAngelo</t>
  </si>
  <si>
    <t>Ball, Dave</t>
  </si>
  <si>
    <t>Toler, Greg</t>
  </si>
  <si>
    <t>Flynn, Matt</t>
  </si>
  <si>
    <t>Quarless, Andrew</t>
  </si>
  <si>
    <t>Logan, Stefan</t>
  </si>
  <si>
    <t>McRath, Gerald</t>
  </si>
  <si>
    <t>Fujita, Scott</t>
  </si>
  <si>
    <t>Armstrong, Anthony</t>
  </si>
  <si>
    <t>Brooking, Keith</t>
  </si>
  <si>
    <t>Davis, Buster</t>
  </si>
  <si>
    <t>Bishop, Desmond</t>
  </si>
  <si>
    <t>Lee, Donald</t>
  </si>
  <si>
    <t>Idonije, Israel</t>
  </si>
  <si>
    <t>Roth, Matt</t>
  </si>
  <si>
    <t>Verner, Alterraun</t>
  </si>
  <si>
    <t>LaBoy, Travis</t>
  </si>
  <si>
    <t>Crocker, Chris</t>
  </si>
  <si>
    <t>Alexander, Danario</t>
  </si>
  <si>
    <t>White, Blair</t>
  </si>
  <si>
    <t>Collins, Kerry</t>
  </si>
  <si>
    <t>Kitna, Jon</t>
  </si>
  <si>
    <t>Gettis, David</t>
  </si>
  <si>
    <t>Tamme, Jacob</t>
  </si>
  <si>
    <t>Smith, Alphonso</t>
  </si>
  <si>
    <t>Barber, Ronde</t>
  </si>
  <si>
    <t>Diles, Zac</t>
  </si>
  <si>
    <t>Ajirotutu, Seyi</t>
  </si>
  <si>
    <t>Bennett, Earl</t>
  </si>
  <si>
    <t>Shaughnessy, Matt</t>
  </si>
  <si>
    <t>Seymour, Richard</t>
  </si>
  <si>
    <t>Lindell, Rian</t>
  </si>
  <si>
    <t>Ngata, Haloti</t>
  </si>
  <si>
    <t>Dreessen, Joel</t>
  </si>
  <si>
    <t>Ford, Jacoby</t>
  </si>
  <si>
    <t>Porter, Joey</t>
  </si>
  <si>
    <t>Marshall, Richard</t>
  </si>
  <si>
    <t>Grimm, Cody</t>
  </si>
  <si>
    <t>S</t>
  </si>
  <si>
    <t>Misi, Koa</t>
  </si>
  <si>
    <t>Barth, Connor</t>
  </si>
  <si>
    <t>McFadden, Bryant</t>
  </si>
  <si>
    <t>James, Javarris</t>
  </si>
  <si>
    <t>Thigpen, Tyler</t>
  </si>
  <si>
    <t>Williams, Tramon</t>
  </si>
  <si>
    <t>Haggan, Mario</t>
  </si>
  <si>
    <t>Suisham, Shaun</t>
  </si>
  <si>
    <t>Johnson, Charles</t>
  </si>
  <si>
    <t>Bajema, Billy</t>
  </si>
  <si>
    <t>Hauschka, Steve</t>
  </si>
  <si>
    <t>Webb, Joe</t>
  </si>
  <si>
    <t>Grimes, Brent</t>
  </si>
  <si>
    <t>McCourtney, Devin</t>
  </si>
  <si>
    <t>Chaney, Jamar</t>
  </si>
  <si>
    <t>Spikes, Takeo</t>
  </si>
  <si>
    <t>McMichael, Randy</t>
  </si>
  <si>
    <t>Patterson, Dimitri</t>
  </si>
  <si>
    <t>Hunter, Jason</t>
  </si>
  <si>
    <t>(9)  Kumar received Berdie's 2011 2nd round pick</t>
  </si>
  <si>
    <t>C</t>
  </si>
  <si>
    <t>(10) Chockalingam received Biegler's 2011 2nd round pick</t>
  </si>
  <si>
    <t>Updated January 21, 2011 at 10 PM 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</si>
</sst>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4"/>
      <color indexed="17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51"/>
      <name val="Bookman Old Style"/>
      <family val="1"/>
    </font>
    <font>
      <b/>
      <sz val="12"/>
      <color indexed="10"/>
      <name val="Copperplate Gothic Bold"/>
      <family val="2"/>
    </font>
    <font>
      <b/>
      <sz val="12"/>
      <name val="Arial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14" fillId="0" borderId="0" xfId="42" applyFont="1" applyAlignment="1">
      <alignment/>
    </xf>
    <xf numFmtId="0" fontId="14" fillId="0" borderId="0" xfId="0" applyFont="1" applyAlignment="1">
      <alignment/>
    </xf>
    <xf numFmtId="43" fontId="0" fillId="0" borderId="0" xfId="0" applyNumberForma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center"/>
    </xf>
    <xf numFmtId="164" fontId="15" fillId="0" borderId="0" xfId="42" applyNumberFormat="1" applyFont="1" applyAlignment="1">
      <alignment/>
    </xf>
    <xf numFmtId="0" fontId="1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19" fillId="0" borderId="0" xfId="44" applyFont="1" applyAlignment="1" applyProtection="1">
      <alignment/>
      <protection locked="0"/>
    </xf>
    <xf numFmtId="44" fontId="19" fillId="0" borderId="0" xfId="44" applyFont="1" applyAlignment="1" applyProtection="1">
      <alignment/>
      <protection/>
    </xf>
    <xf numFmtId="44" fontId="19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41" fillId="0" borderId="0" xfId="42" applyNumberFormat="1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164" fontId="45" fillId="33" borderId="0" xfId="42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42" fillId="0" borderId="0" xfId="42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50" fillId="0" borderId="0" xfId="42" applyNumberFormat="1" applyFont="1" applyAlignment="1">
      <alignment/>
    </xf>
    <xf numFmtId="0" fontId="52" fillId="0" borderId="0" xfId="0" applyFont="1" applyAlignment="1">
      <alignment/>
    </xf>
    <xf numFmtId="43" fontId="50" fillId="0" borderId="0" xfId="42" applyFont="1" applyAlignment="1">
      <alignment/>
    </xf>
    <xf numFmtId="43" fontId="50" fillId="0" borderId="0" xfId="0" applyNumberFormat="1" applyFont="1" applyAlignment="1">
      <alignment/>
    </xf>
    <xf numFmtId="44" fontId="50" fillId="0" borderId="0" xfId="44" applyFont="1" applyAlignment="1">
      <alignment/>
    </xf>
    <xf numFmtId="43" fontId="50" fillId="0" borderId="0" xfId="42" applyFont="1" applyFill="1" applyAlignment="1">
      <alignment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64" fontId="50" fillId="0" borderId="10" xfId="42" applyNumberFormat="1" applyFont="1" applyBorder="1" applyAlignment="1">
      <alignment/>
    </xf>
    <xf numFmtId="43" fontId="50" fillId="0" borderId="10" xfId="42" applyFont="1" applyBorder="1" applyAlignment="1">
      <alignment/>
    </xf>
    <xf numFmtId="43" fontId="53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4" fontId="51" fillId="0" borderId="0" xfId="44" applyFont="1" applyAlignment="1">
      <alignment horizontal="center"/>
    </xf>
    <xf numFmtId="44" fontId="51" fillId="0" borderId="0" xfId="44" applyFont="1" applyBorder="1" applyAlignment="1">
      <alignment horizontal="center"/>
    </xf>
    <xf numFmtId="0" fontId="54" fillId="0" borderId="0" xfId="0" applyFont="1" applyAlignment="1">
      <alignment/>
    </xf>
    <xf numFmtId="44" fontId="54" fillId="0" borderId="0" xfId="44" applyFont="1" applyAlignment="1">
      <alignment/>
    </xf>
    <xf numFmtId="0" fontId="47" fillId="0" borderId="0" xfId="0" applyFont="1" applyAlignment="1">
      <alignment horizontal="right"/>
    </xf>
    <xf numFmtId="43" fontId="47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43" fontId="41" fillId="0" borderId="0" xfId="42" applyFont="1" applyAlignment="1">
      <alignment horizontal="center"/>
    </xf>
    <xf numFmtId="164" fontId="41" fillId="0" borderId="0" xfId="42" applyNumberFormat="1" applyFont="1" applyAlignment="1">
      <alignment horizontal="center"/>
    </xf>
    <xf numFmtId="43" fontId="41" fillId="0" borderId="0" xfId="42" applyFont="1" applyAlignment="1">
      <alignment/>
    </xf>
    <xf numFmtId="43" fontId="47" fillId="0" borderId="0" xfId="42" applyFont="1" applyBorder="1" applyAlignment="1">
      <alignment horizontal="center"/>
    </xf>
    <xf numFmtId="0" fontId="47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43" fontId="47" fillId="0" borderId="10" xfId="42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3" fontId="41" fillId="0" borderId="10" xfId="42" applyFont="1" applyBorder="1" applyAlignment="1">
      <alignment horizontal="center"/>
    </xf>
    <xf numFmtId="164" fontId="41" fillId="0" borderId="10" xfId="42" applyNumberFormat="1" applyFont="1" applyBorder="1" applyAlignment="1">
      <alignment/>
    </xf>
    <xf numFmtId="43" fontId="41" fillId="0" borderId="10" xfId="42" applyFont="1" applyBorder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67" customWidth="1"/>
    <col min="2" max="2" width="1.7109375" style="67" customWidth="1"/>
    <col min="3" max="3" width="5.7109375" style="67" customWidth="1"/>
    <col min="4" max="9" width="7.7109375" style="67" customWidth="1"/>
    <col min="10" max="10" width="8.7109375" style="67" customWidth="1"/>
    <col min="11" max="11" width="1.7109375" style="67" customWidth="1"/>
    <col min="12" max="12" width="5.7109375" style="67" customWidth="1"/>
    <col min="13" max="13" width="7.7109375" style="67" customWidth="1"/>
    <col min="14" max="14" width="1.7109375" style="67" customWidth="1"/>
    <col min="15" max="15" width="5.7109375" style="67" customWidth="1"/>
    <col min="16" max="16" width="7.7109375" style="67" customWidth="1"/>
    <col min="17" max="17" width="1.7109375" style="67" customWidth="1"/>
    <col min="18" max="18" width="5.7109375" style="67" customWidth="1"/>
    <col min="19" max="19" width="7.7109375" style="67" customWidth="1"/>
    <col min="20" max="20" width="1.7109375" style="67" customWidth="1"/>
    <col min="21" max="21" width="5.7109375" style="67" customWidth="1"/>
    <col min="22" max="22" width="7.7109375" style="67" customWidth="1"/>
    <col min="23" max="23" width="2.7109375" style="67" customWidth="1"/>
    <col min="24" max="26" width="8.7109375" style="68" customWidth="1"/>
    <col min="27" max="27" width="9.421875" style="69" bestFit="1" customWidth="1"/>
    <col min="28" max="16384" width="9.140625" style="67" customWidth="1"/>
  </cols>
  <sheetData>
    <row r="1" spans="1:22" ht="18.75">
      <c r="A1" s="62" t="s">
        <v>0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4"/>
      <c r="M1" s="63"/>
      <c r="N1" s="65"/>
      <c r="O1" s="65"/>
      <c r="P1" s="65"/>
      <c r="Q1" s="66" t="s">
        <v>808</v>
      </c>
      <c r="R1" s="66"/>
      <c r="S1" s="66"/>
      <c r="T1" s="66"/>
      <c r="U1" s="66"/>
      <c r="V1" s="66"/>
    </row>
    <row r="2" ht="7.5" customHeight="1"/>
    <row r="3" spans="3:27" s="70" customFormat="1" ht="15" customHeight="1">
      <c r="C3" s="71">
        <v>2010</v>
      </c>
      <c r="D3" s="71"/>
      <c r="E3" s="71"/>
      <c r="F3" s="71"/>
      <c r="G3" s="71"/>
      <c r="H3" s="71"/>
      <c r="I3" s="71"/>
      <c r="J3" s="71"/>
      <c r="K3" s="72"/>
      <c r="L3" s="71">
        <v>2011</v>
      </c>
      <c r="M3" s="71"/>
      <c r="N3" s="72"/>
      <c r="O3" s="71">
        <v>2012</v>
      </c>
      <c r="P3" s="71"/>
      <c r="Q3" s="72"/>
      <c r="R3" s="71">
        <v>2013</v>
      </c>
      <c r="S3" s="71"/>
      <c r="T3" s="72"/>
      <c r="U3" s="71">
        <v>2014</v>
      </c>
      <c r="V3" s="71"/>
      <c r="X3" s="73" t="s">
        <v>489</v>
      </c>
      <c r="Y3" s="73" t="s">
        <v>490</v>
      </c>
      <c r="Z3" s="73" t="s">
        <v>491</v>
      </c>
      <c r="AA3" s="74" t="s">
        <v>492</v>
      </c>
    </row>
    <row r="4" spans="3:27" s="70" customFormat="1" ht="7.5" customHeight="1">
      <c r="C4" s="75"/>
      <c r="D4" s="75"/>
      <c r="E4" s="75"/>
      <c r="F4" s="75"/>
      <c r="G4" s="75"/>
      <c r="H4" s="75"/>
      <c r="I4" s="75"/>
      <c r="J4" s="75"/>
      <c r="K4" s="76"/>
      <c r="L4" s="77"/>
      <c r="M4" s="77"/>
      <c r="N4" s="76"/>
      <c r="O4" s="75"/>
      <c r="P4" s="75"/>
      <c r="Q4" s="76"/>
      <c r="R4" s="77"/>
      <c r="S4" s="77"/>
      <c r="T4" s="76"/>
      <c r="U4" s="75"/>
      <c r="V4" s="75"/>
      <c r="X4" s="78"/>
      <c r="Y4" s="78"/>
      <c r="Z4" s="78"/>
      <c r="AA4" s="79"/>
    </row>
    <row r="5" spans="1:27" s="81" customFormat="1" ht="15">
      <c r="A5" s="80" t="s">
        <v>1</v>
      </c>
      <c r="C5" s="82" t="s">
        <v>2</v>
      </c>
      <c r="D5" s="82" t="s">
        <v>3</v>
      </c>
      <c r="E5" s="82" t="s">
        <v>4</v>
      </c>
      <c r="F5" s="82" t="s">
        <v>5</v>
      </c>
      <c r="G5" s="82" t="s">
        <v>6</v>
      </c>
      <c r="H5" s="82" t="s">
        <v>7</v>
      </c>
      <c r="I5" s="82" t="s">
        <v>8</v>
      </c>
      <c r="J5" s="82" t="s">
        <v>9</v>
      </c>
      <c r="K5" s="83"/>
      <c r="L5" s="82" t="s">
        <v>2</v>
      </c>
      <c r="M5" s="82" t="s">
        <v>10</v>
      </c>
      <c r="N5" s="83"/>
      <c r="O5" s="82" t="s">
        <v>2</v>
      </c>
      <c r="P5" s="82" t="s">
        <v>10</v>
      </c>
      <c r="Q5" s="83"/>
      <c r="R5" s="82" t="s">
        <v>2</v>
      </c>
      <c r="S5" s="82" t="s">
        <v>10</v>
      </c>
      <c r="T5" s="83"/>
      <c r="U5" s="82" t="s">
        <v>2</v>
      </c>
      <c r="V5" s="82" t="s">
        <v>10</v>
      </c>
      <c r="X5" s="84"/>
      <c r="Y5" s="84"/>
      <c r="Z5" s="84"/>
      <c r="AA5" s="85"/>
    </row>
    <row r="6" spans="24:27" s="70" customFormat="1" ht="7.5" customHeight="1">
      <c r="X6" s="78"/>
      <c r="Y6" s="78"/>
      <c r="Z6" s="78"/>
      <c r="AA6" s="79"/>
    </row>
    <row r="7" spans="1:27" s="81" customFormat="1" ht="15" customHeight="1">
      <c r="A7" s="86" t="s">
        <v>15</v>
      </c>
      <c r="C7" s="85">
        <f>+COUNTIF(Krenz!$I$5:$I$29,"&gt;0")</f>
        <v>25</v>
      </c>
      <c r="D7" s="87">
        <f>+Krenz!I31</f>
        <v>218.1499999999999</v>
      </c>
      <c r="E7" s="87">
        <f>+Krenz!I51</f>
        <v>23.85</v>
      </c>
      <c r="F7" s="87">
        <f>+Krenz!I61</f>
        <v>0</v>
      </c>
      <c r="G7" s="87">
        <f>-Krenz!I37-Krenz!I40-Krenz!I41-Krenz!I42-Krenz!I43</f>
        <v>-6.4</v>
      </c>
      <c r="H7" s="87">
        <f aca="true" t="shared" si="0" ref="H7:H26">+SUM(D7:G7)</f>
        <v>235.59999999999988</v>
      </c>
      <c r="I7" s="87">
        <f aca="true" t="shared" si="1" ref="I7:I26">+ROUND(IF(H7&gt;($H$31*1.2),(9*(H7-1.2*$H$31)+$H$31*0.5),IF(H7&gt;($H$31*1.1),(4*(H7-1.1*$H$31)+$H$31*0.1),IF(H7&gt;$H$31,H7-$H$31,0))),2)</f>
        <v>122.2</v>
      </c>
      <c r="J7" s="88">
        <f aca="true" t="shared" si="2" ref="J7:J26">+H7+I7</f>
        <v>357.7999999999999</v>
      </c>
      <c r="L7" s="85">
        <f>+COUNTIF(Krenz!$J$5:$J$29,"&gt;0")</f>
        <v>14</v>
      </c>
      <c r="M7" s="87">
        <f>+Krenz!J31</f>
        <v>187.1</v>
      </c>
      <c r="O7" s="85">
        <f>+COUNTIF(Krenz!$K$5:$K$29,"&gt;0")</f>
        <v>12</v>
      </c>
      <c r="P7" s="87">
        <f>+Krenz!K31</f>
        <v>140</v>
      </c>
      <c r="R7" s="85">
        <f>+COUNTIF(Krenz!$L$5:$L$29,"&gt;0")</f>
        <v>7</v>
      </c>
      <c r="S7" s="87">
        <f>+Krenz!L31</f>
        <v>107.89999999999999</v>
      </c>
      <c r="U7" s="85">
        <f>+COUNTIF(Krenz!$M$5:$M$29,"&gt;0")</f>
        <v>6</v>
      </c>
      <c r="V7" s="87">
        <f>+Krenz!M31</f>
        <v>102.55</v>
      </c>
      <c r="X7" s="84">
        <v>2</v>
      </c>
      <c r="Y7" s="84">
        <v>2</v>
      </c>
      <c r="Z7" s="84">
        <v>3</v>
      </c>
      <c r="AA7" s="85">
        <f>M32+S33+Z7*V32</f>
        <v>950</v>
      </c>
    </row>
    <row r="8" spans="1:27" s="81" customFormat="1" ht="15" customHeight="1">
      <c r="A8" s="86" t="s">
        <v>19</v>
      </c>
      <c r="C8" s="85">
        <f>+COUNTIF('Boyd A'!$I$5:$I$29,"&gt;0")</f>
        <v>25</v>
      </c>
      <c r="D8" s="87">
        <f>+'Boyd A'!I31</f>
        <v>221.05</v>
      </c>
      <c r="E8" s="87">
        <f>+'Boyd A'!I50</f>
        <v>8.55</v>
      </c>
      <c r="F8" s="87">
        <f>+'Boyd A'!I59</f>
        <v>0</v>
      </c>
      <c r="G8" s="87">
        <v>0</v>
      </c>
      <c r="H8" s="87">
        <f t="shared" si="0"/>
        <v>229.60000000000002</v>
      </c>
      <c r="I8" s="87">
        <f t="shared" si="1"/>
        <v>84.2</v>
      </c>
      <c r="J8" s="88">
        <f t="shared" si="2"/>
        <v>313.8</v>
      </c>
      <c r="L8" s="85">
        <f>+COUNTIF('Boyd A'!$J$5:$J$29,"&gt;0")</f>
        <v>20</v>
      </c>
      <c r="M8" s="87">
        <f>+'Boyd A'!J31</f>
        <v>199.15000000000003</v>
      </c>
      <c r="O8" s="85">
        <f>+COUNTIF('Boyd A'!$K$5:$K$29,"&gt;0")</f>
        <v>13</v>
      </c>
      <c r="P8" s="87">
        <f>+'Boyd A'!K31</f>
        <v>130.8</v>
      </c>
      <c r="R8" s="85">
        <f>+COUNTIF('Boyd A'!$L$5:$L$29,"&gt;0")</f>
        <v>9</v>
      </c>
      <c r="S8" s="87">
        <f>+'Boyd A'!L31</f>
        <v>53.9</v>
      </c>
      <c r="U8" s="85">
        <f>+COUNTIF('Boyd A'!$M$5:$M$29,"&gt;0")</f>
        <v>6</v>
      </c>
      <c r="V8" s="87">
        <f>+'Boyd A'!M31</f>
        <v>39.650000000000006</v>
      </c>
      <c r="X8" s="84">
        <v>4</v>
      </c>
      <c r="Y8" s="84">
        <v>3</v>
      </c>
      <c r="Z8" s="84">
        <v>2</v>
      </c>
      <c r="AA8" s="85">
        <f>M34+S34+2*V32</f>
        <v>542</v>
      </c>
    </row>
    <row r="9" spans="1:27" s="81" customFormat="1" ht="15" customHeight="1">
      <c r="A9" s="86" t="s">
        <v>361</v>
      </c>
      <c r="C9" s="85">
        <f>+COUNTIF(Kumar!$I$5:$I$29,"&gt;0")</f>
        <v>25</v>
      </c>
      <c r="D9" s="87">
        <f>+Kumar!I31</f>
        <v>216.75</v>
      </c>
      <c r="E9" s="87">
        <f>+Kumar!I48</f>
        <v>11.350000000000001</v>
      </c>
      <c r="F9" s="87">
        <f>+Kumar!I57</f>
        <v>0</v>
      </c>
      <c r="G9" s="87">
        <f>-Kumar!I38-Kumar!I42</f>
        <v>-3.9000000000000004</v>
      </c>
      <c r="H9" s="87">
        <f t="shared" si="0"/>
        <v>224.2</v>
      </c>
      <c r="I9" s="87">
        <f t="shared" si="1"/>
        <v>62.6</v>
      </c>
      <c r="J9" s="88">
        <f t="shared" si="2"/>
        <v>286.8</v>
      </c>
      <c r="K9" s="89"/>
      <c r="L9" s="85">
        <f>+COUNTIF(Kumar!$J$5:$J$29,"&gt;0")</f>
        <v>19</v>
      </c>
      <c r="M9" s="87">
        <f>+Kumar!J31</f>
        <v>193.60000000000005</v>
      </c>
      <c r="O9" s="85">
        <f>+COUNTIF(Kumar!$K$5:$K$29,"&gt;0")</f>
        <v>10</v>
      </c>
      <c r="P9" s="87">
        <f>+Kumar!K31</f>
        <v>126.70000000000002</v>
      </c>
      <c r="R9" s="85">
        <f>+COUNTIF(Kumar!$L$5:$L$29,"&gt;0")</f>
        <v>6</v>
      </c>
      <c r="S9" s="87">
        <f>+Kumar!L31</f>
        <v>95</v>
      </c>
      <c r="U9" s="85">
        <f>+COUNTIF(Kumar!$M$5:$M$29,"&gt;0")</f>
        <v>3</v>
      </c>
      <c r="V9" s="87">
        <f>+Kumar!M31</f>
        <v>5.85</v>
      </c>
      <c r="X9" s="84">
        <v>17</v>
      </c>
      <c r="Y9" s="84"/>
      <c r="Z9" s="84">
        <v>1</v>
      </c>
      <c r="AA9" s="85">
        <f>V32</f>
        <v>55</v>
      </c>
    </row>
    <row r="10" spans="1:27" s="81" customFormat="1" ht="15" customHeight="1">
      <c r="A10" s="86" t="s">
        <v>14</v>
      </c>
      <c r="C10" s="85">
        <f>+COUNTIF(Hunt!$I$5:$I$29,"&gt;0")</f>
        <v>24</v>
      </c>
      <c r="D10" s="87">
        <f>+Hunt!I31</f>
        <v>228.29999999999995</v>
      </c>
      <c r="E10" s="87">
        <f>+Hunt!I53</f>
        <v>2</v>
      </c>
      <c r="F10" s="87">
        <f>+Hunt!I62</f>
        <v>-10</v>
      </c>
      <c r="G10" s="87">
        <v>0</v>
      </c>
      <c r="H10" s="87">
        <f t="shared" si="0"/>
        <v>220.29999999999995</v>
      </c>
      <c r="I10" s="87">
        <f t="shared" si="1"/>
        <v>47</v>
      </c>
      <c r="J10" s="88">
        <f t="shared" si="2"/>
        <v>267.29999999999995</v>
      </c>
      <c r="L10" s="85">
        <f>+COUNTIF(Hunt!$J$5:$J$29,"&gt;0")</f>
        <v>13</v>
      </c>
      <c r="M10" s="87">
        <f>+Hunt!J31</f>
        <v>29.849999999999998</v>
      </c>
      <c r="O10" s="85">
        <f>+COUNTIF(Hunt!$K$5:$K$29,"&gt;0")</f>
        <v>9</v>
      </c>
      <c r="P10" s="87">
        <f>+Hunt!K31</f>
        <v>19.599999999999994</v>
      </c>
      <c r="R10" s="85">
        <f>+COUNTIF(Hunt!$L$5:$L$29,"&gt;0")</f>
        <v>3</v>
      </c>
      <c r="S10" s="87">
        <f>+Hunt!L31</f>
        <v>5.55</v>
      </c>
      <c r="U10" s="85">
        <f>+COUNTIF(Hunt!$M$5:$M$29,"&gt;0")</f>
        <v>1</v>
      </c>
      <c r="V10" s="87">
        <f>+Hunt!M31</f>
        <v>1.95</v>
      </c>
      <c r="X10" s="84">
        <v>11</v>
      </c>
      <c r="Y10" s="84"/>
      <c r="Z10" s="84">
        <v>1</v>
      </c>
      <c r="AA10" s="85">
        <f>V32</f>
        <v>55</v>
      </c>
    </row>
    <row r="11" spans="1:27" s="81" customFormat="1" ht="15" customHeight="1">
      <c r="A11" s="86" t="s">
        <v>363</v>
      </c>
      <c r="C11" s="85">
        <f>+COUNTIF(Biegler!$I$5:$I$29,"&gt;0")</f>
        <v>25</v>
      </c>
      <c r="D11" s="87">
        <f>+Biegler!I31</f>
        <v>192.74999999999991</v>
      </c>
      <c r="E11" s="87">
        <f>+Biegler!I58</f>
        <v>26.799999999999994</v>
      </c>
      <c r="F11" s="87">
        <f>+Biegler!I68</f>
        <v>0</v>
      </c>
      <c r="G11" s="87">
        <v>0</v>
      </c>
      <c r="H11" s="87">
        <f t="shared" si="0"/>
        <v>219.5499999999999</v>
      </c>
      <c r="I11" s="87">
        <f t="shared" si="1"/>
        <v>44</v>
      </c>
      <c r="J11" s="88">
        <f t="shared" si="2"/>
        <v>263.5499999999999</v>
      </c>
      <c r="L11" s="85">
        <f>+COUNTIF(Biegler!$J$5:$J$29,"&gt;0")</f>
        <v>15</v>
      </c>
      <c r="M11" s="87">
        <f>+Biegler!J31</f>
        <v>99.44999999999999</v>
      </c>
      <c r="O11" s="85">
        <f>+COUNTIF(Biegler!$K$5:$K$29,"&gt;0")</f>
        <v>8</v>
      </c>
      <c r="P11" s="87">
        <f>+Biegler!K31</f>
        <v>45.15</v>
      </c>
      <c r="R11" s="85">
        <f>+COUNTIF(Biegler!$L$5:$L$29,"&gt;0")</f>
        <v>5</v>
      </c>
      <c r="S11" s="87">
        <f>+Biegler!L31</f>
        <v>17.900000000000002</v>
      </c>
      <c r="U11" s="85">
        <f>+COUNTIF(Biegler!$M$5:$M$29,"&gt;0")</f>
        <v>2</v>
      </c>
      <c r="V11" s="87">
        <f>+Biegler!M31</f>
        <v>6.3500000000000005</v>
      </c>
      <c r="X11" s="84">
        <v>3</v>
      </c>
      <c r="Y11" s="84"/>
      <c r="Z11" s="84">
        <v>4</v>
      </c>
      <c r="AA11" s="85">
        <f>Z11*V32+M33</f>
        <v>605</v>
      </c>
    </row>
    <row r="12" spans="1:27" s="81" customFormat="1" ht="15" customHeight="1">
      <c r="A12" s="118" t="s">
        <v>20</v>
      </c>
      <c r="B12" s="86"/>
      <c r="C12" s="85">
        <f>+COUNTIF(Losurdo!$I$5:$I$29,"&gt;0")</f>
        <v>25</v>
      </c>
      <c r="D12" s="87">
        <f>+Losurdo!I31</f>
        <v>215.00000000000003</v>
      </c>
      <c r="E12" s="87">
        <f>+Losurdo!I48</f>
        <v>4.45</v>
      </c>
      <c r="F12" s="87">
        <f>+Losurdo!I57</f>
        <v>0</v>
      </c>
      <c r="G12" s="87">
        <v>0</v>
      </c>
      <c r="H12" s="87">
        <f t="shared" si="0"/>
        <v>219.45000000000002</v>
      </c>
      <c r="I12" s="87">
        <f t="shared" si="1"/>
        <v>43.6</v>
      </c>
      <c r="J12" s="88">
        <f t="shared" si="2"/>
        <v>263.05</v>
      </c>
      <c r="L12" s="85">
        <f>+COUNTIF(Losurdo!$J$5:$J$29,"&gt;0")</f>
        <v>19</v>
      </c>
      <c r="M12" s="87">
        <f>+Losurdo!J31</f>
        <v>170.70000000000005</v>
      </c>
      <c r="O12" s="85">
        <f>+COUNTIF(Losurdo!$K$5:$K$29,"&gt;0")</f>
        <v>12</v>
      </c>
      <c r="P12" s="87">
        <f>+Losurdo!K31</f>
        <v>119.55000000000001</v>
      </c>
      <c r="R12" s="85">
        <f>+COUNTIF(Losurdo!$L$5:$L$29,"&gt;0")</f>
        <v>6</v>
      </c>
      <c r="S12" s="87">
        <f>+Losurdo!L31</f>
        <v>79.8</v>
      </c>
      <c r="U12" s="85">
        <f>+COUNTIF(Losurdo!$M$5:$M$29,"&gt;0")</f>
        <v>3</v>
      </c>
      <c r="V12" s="87">
        <f>+Losurdo!M31</f>
        <v>17.5</v>
      </c>
      <c r="X12" s="84">
        <v>19</v>
      </c>
      <c r="Y12" s="84"/>
      <c r="Z12" s="84"/>
      <c r="AA12" s="85">
        <v>0</v>
      </c>
    </row>
    <row r="13" spans="1:27" s="81" customFormat="1" ht="15" customHeight="1">
      <c r="A13" s="86" t="s">
        <v>11</v>
      </c>
      <c r="C13" s="85">
        <f>+COUNTIF(Fernald!$I$5:$I$29,"&gt;0")</f>
        <v>25</v>
      </c>
      <c r="D13" s="87">
        <f>+Fernald!I31</f>
        <v>197.04999999999995</v>
      </c>
      <c r="E13" s="87">
        <f>+Fernald!I53</f>
        <v>12.150000000000002</v>
      </c>
      <c r="F13" s="87">
        <f>+Fernald!I63</f>
        <v>10</v>
      </c>
      <c r="G13" s="87">
        <f>-Fernald!I37-Fernald!I43</f>
        <v>-2.9000000000000004</v>
      </c>
      <c r="H13" s="87">
        <f t="shared" si="0"/>
        <v>216.29999999999995</v>
      </c>
      <c r="I13" s="87">
        <f t="shared" si="1"/>
        <v>31</v>
      </c>
      <c r="J13" s="88">
        <f t="shared" si="2"/>
        <v>247.29999999999995</v>
      </c>
      <c r="L13" s="85">
        <f>+COUNTIF(Fernald!$J$5:$J$29,"&gt;0")</f>
        <v>15</v>
      </c>
      <c r="M13" s="87">
        <f>+Fernald!J31</f>
        <v>78.65</v>
      </c>
      <c r="O13" s="85">
        <f>+COUNTIF(Fernald!$K$5:$K$29,"&gt;0")</f>
        <v>9</v>
      </c>
      <c r="P13" s="87">
        <f>+Fernald!K31</f>
        <v>51.599999999999994</v>
      </c>
      <c r="R13" s="85">
        <f>+COUNTIF(Fernald!$L$5:$L$29,"&gt;0")</f>
        <v>7</v>
      </c>
      <c r="S13" s="87">
        <f>+Fernald!L31</f>
        <v>33.05</v>
      </c>
      <c r="U13" s="85">
        <f>+COUNTIF(Fernald!$M$5:$M$29,"&gt;0")</f>
        <v>3</v>
      </c>
      <c r="V13" s="87">
        <f>+Fernald!M31</f>
        <v>16.599999999999998</v>
      </c>
      <c r="X13" s="84">
        <v>5</v>
      </c>
      <c r="Y13" s="84"/>
      <c r="Z13" s="84">
        <v>2</v>
      </c>
      <c r="AA13" s="85">
        <f>P31+Z13*V32</f>
        <v>303</v>
      </c>
    </row>
    <row r="14" spans="1:27" s="81" customFormat="1" ht="15" customHeight="1">
      <c r="A14" s="86" t="s">
        <v>12</v>
      </c>
      <c r="C14" s="85">
        <f>+COUNTIF(Berdie!$I$5:$I$29,"&gt;0")</f>
        <v>25</v>
      </c>
      <c r="D14" s="87">
        <f>+Berdie!I31</f>
        <v>169.89999999999995</v>
      </c>
      <c r="E14" s="87">
        <f>+Berdie!I61</f>
        <v>42.90000000000002</v>
      </c>
      <c r="F14" s="87">
        <f>+Berdie!I72</f>
        <v>14.55</v>
      </c>
      <c r="G14" s="87">
        <f>-Berdie!I42-Berdie!I43-Berdie!I44-Berdie!I52-Berdie!I57-Berdie!I58-Berdie!I8</f>
        <v>-14.45</v>
      </c>
      <c r="H14" s="87">
        <f t="shared" si="0"/>
        <v>212.89999999999998</v>
      </c>
      <c r="I14" s="87">
        <f t="shared" si="1"/>
        <v>18.9</v>
      </c>
      <c r="J14" s="88">
        <f t="shared" si="2"/>
        <v>231.79999999999998</v>
      </c>
      <c r="L14" s="85">
        <f>+COUNTIF(Berdie!$J$5:$J$29,"&gt;0")</f>
        <v>19</v>
      </c>
      <c r="M14" s="87">
        <f>+Berdie!J31</f>
        <v>158.20000000000002</v>
      </c>
      <c r="O14" s="85">
        <f>+COUNTIF(Berdie!$K$5:$K$29,"&gt;0")</f>
        <v>15</v>
      </c>
      <c r="P14" s="87">
        <f>+Berdie!K31</f>
        <v>99.10000000000002</v>
      </c>
      <c r="R14" s="85">
        <f>+COUNTIF(Berdie!$L$5:$L$29,"&gt;0")</f>
        <v>11</v>
      </c>
      <c r="S14" s="87">
        <f>+Berdie!L31</f>
        <v>53.000000000000014</v>
      </c>
      <c r="U14" s="85">
        <f>+COUNTIF(Berdie!$M$5:$M$29,"&gt;0")</f>
        <v>9</v>
      </c>
      <c r="V14" s="87">
        <f>+Berdie!M31</f>
        <v>42.05000000000001</v>
      </c>
      <c r="X14" s="84">
        <v>1</v>
      </c>
      <c r="Y14" s="84">
        <v>1</v>
      </c>
      <c r="Z14" s="84"/>
      <c r="AA14" s="85">
        <f>M31+S32</f>
        <v>1329</v>
      </c>
    </row>
    <row r="15" spans="1:27" s="81" customFormat="1" ht="15" customHeight="1">
      <c r="A15" s="86" t="s">
        <v>22</v>
      </c>
      <c r="C15" s="85">
        <f>+COUNTIF(Kuhn!$I$5:$I$29,"&gt;0")</f>
        <v>25</v>
      </c>
      <c r="D15" s="87">
        <f>+Kuhn!I31</f>
        <v>212.64999999999998</v>
      </c>
      <c r="E15" s="87">
        <f>+Kuhn!I48</f>
        <v>4.3500000000000005</v>
      </c>
      <c r="F15" s="87">
        <f>+Kuhn!I57</f>
        <v>0</v>
      </c>
      <c r="G15" s="87">
        <f>-Kuhn!I39-Kuhn!I6-Kuhn!I28</f>
        <v>-4.35</v>
      </c>
      <c r="H15" s="87">
        <f t="shared" si="0"/>
        <v>212.64999999999998</v>
      </c>
      <c r="I15" s="87">
        <f t="shared" si="1"/>
        <v>18.65</v>
      </c>
      <c r="J15" s="88">
        <f t="shared" si="2"/>
        <v>231.29999999999998</v>
      </c>
      <c r="L15" s="85">
        <f>+COUNTIF(Kuhn!$J$5:$J$29,"&gt;0")</f>
        <v>12</v>
      </c>
      <c r="M15" s="87">
        <f>+Kuhn!J31</f>
        <v>116.25000000000001</v>
      </c>
      <c r="O15" s="85">
        <f>+COUNTIF(Kuhn!$K$5:$K$29,"&gt;0")</f>
        <v>10</v>
      </c>
      <c r="P15" s="87">
        <f>+Kuhn!K31</f>
        <v>102.55000000000001</v>
      </c>
      <c r="R15" s="85">
        <f>+COUNTIF(Kuhn!$L$5:$L$29,"&gt;0")</f>
        <v>5</v>
      </c>
      <c r="S15" s="87">
        <f>+Kuhn!L31</f>
        <v>25.75</v>
      </c>
      <c r="U15" s="85">
        <f>+COUNTIF(Kuhn!$M$5:$M$29,"&gt;0")</f>
        <v>3</v>
      </c>
      <c r="V15" s="87">
        <f>+Kuhn!M31</f>
        <v>7.05</v>
      </c>
      <c r="X15" s="84">
        <v>10</v>
      </c>
      <c r="Y15" s="84" t="s">
        <v>806</v>
      </c>
      <c r="Z15" s="84"/>
      <c r="AA15" s="85">
        <f>S35</f>
        <v>111</v>
      </c>
    </row>
    <row r="16" spans="1:27" s="81" customFormat="1" ht="15" customHeight="1">
      <c r="A16" s="86" t="s">
        <v>17</v>
      </c>
      <c r="C16" s="85">
        <f>+COUNTIF(Barton!$I$5:$I$29,"&gt;0")</f>
        <v>25</v>
      </c>
      <c r="D16" s="87">
        <f>+Barton!I31</f>
        <v>209.3499999999999</v>
      </c>
      <c r="E16" s="87">
        <f>+Barton!I50</f>
        <v>23.8</v>
      </c>
      <c r="F16" s="87">
        <f>+Barton!I59</f>
        <v>8</v>
      </c>
      <c r="G16" s="87">
        <f>-Barton!I5-Barton!I8-Barton!I11-Barton!I16-Barton!I43-Barton!I44-Barton!I42-Barton!I40</f>
        <v>-31.199999999999996</v>
      </c>
      <c r="H16" s="87">
        <f t="shared" si="0"/>
        <v>209.94999999999993</v>
      </c>
      <c r="I16" s="87">
        <f t="shared" si="1"/>
        <v>15.95</v>
      </c>
      <c r="J16" s="88">
        <f t="shared" si="2"/>
        <v>225.89999999999992</v>
      </c>
      <c r="L16" s="85">
        <f>+COUNTIF(Barton!$J$5:$J$29,"&gt;0")</f>
        <v>17</v>
      </c>
      <c r="M16" s="87">
        <f>+Barton!J31</f>
        <v>127.14999999999998</v>
      </c>
      <c r="O16" s="85">
        <f>+COUNTIF(Barton!$K$5:$K$29,"&gt;0")</f>
        <v>12</v>
      </c>
      <c r="P16" s="87">
        <f>+Barton!K31</f>
        <v>46.24999999999999</v>
      </c>
      <c r="R16" s="85">
        <f>+COUNTIF(Barton!$L$5:$L$29,"&gt;0")</f>
        <v>9</v>
      </c>
      <c r="S16" s="87">
        <f>+Barton!L31</f>
        <v>28.349999999999994</v>
      </c>
      <c r="U16" s="85">
        <f>+COUNTIF(Barton!$M$5:$M$29,"&gt;0")</f>
        <v>8</v>
      </c>
      <c r="V16" s="87">
        <f>+Barton!M31</f>
        <v>24.349999999999994</v>
      </c>
      <c r="X16" s="84">
        <v>8</v>
      </c>
      <c r="Y16" s="84"/>
      <c r="Z16" s="84">
        <v>1</v>
      </c>
      <c r="AA16" s="85">
        <f>P34+V32</f>
        <v>103</v>
      </c>
    </row>
    <row r="17" spans="1:27" s="81" customFormat="1" ht="15" customHeight="1">
      <c r="A17" s="86" t="s">
        <v>25</v>
      </c>
      <c r="C17" s="85">
        <f>+COUNTIF(Mehta!$I$5:$I$29,"&gt;0")</f>
        <v>25</v>
      </c>
      <c r="D17" s="87">
        <f>+Mehta!I31</f>
        <v>173.3499999999999</v>
      </c>
      <c r="E17" s="87">
        <f>+Mehta!I51</f>
        <v>35.050000000000004</v>
      </c>
      <c r="F17" s="87">
        <f>+Mehta!I60</f>
        <v>0</v>
      </c>
      <c r="G17" s="87">
        <v>0</v>
      </c>
      <c r="H17" s="87">
        <f t="shared" si="0"/>
        <v>208.39999999999992</v>
      </c>
      <c r="I17" s="87">
        <f t="shared" si="1"/>
        <v>14.4</v>
      </c>
      <c r="J17" s="88">
        <f t="shared" si="2"/>
        <v>222.79999999999993</v>
      </c>
      <c r="L17" s="85">
        <f>+COUNTIF(Mehta!$J$5:$J$29,"&gt;0")</f>
        <v>12</v>
      </c>
      <c r="M17" s="87">
        <f>+Mehta!J31</f>
        <v>105.75</v>
      </c>
      <c r="O17" s="85">
        <f>+COUNTIF(Mehta!$K$5:$K$29,"&gt;0")</f>
        <v>8</v>
      </c>
      <c r="P17" s="87">
        <f>+Mehta!K31</f>
        <v>58.300000000000004</v>
      </c>
      <c r="R17" s="85">
        <f>+COUNTIF(Mehta!$L$5:$L$29,"&gt;0")</f>
        <v>4</v>
      </c>
      <c r="S17" s="87">
        <f>+Mehta!L31</f>
        <v>20.3</v>
      </c>
      <c r="U17" s="85">
        <f>+COUNTIF(Mehta!$M$5:$M$29,"&gt;0")</f>
        <v>2</v>
      </c>
      <c r="V17" s="87">
        <f>+Mehta!M31</f>
        <v>3.9</v>
      </c>
      <c r="X17" s="84">
        <v>6</v>
      </c>
      <c r="Y17" s="84"/>
      <c r="Z17" s="84"/>
      <c r="AA17" s="85">
        <f>P32</f>
        <v>144</v>
      </c>
    </row>
    <row r="18" spans="1:27" s="81" customFormat="1" ht="15" customHeight="1">
      <c r="A18" s="86" t="s">
        <v>13</v>
      </c>
      <c r="C18" s="85">
        <f>+COUNTIF(WoodfordW!$I$5:$I$29,"&gt;0")</f>
        <v>24</v>
      </c>
      <c r="D18" s="87">
        <f>+WoodfordW!I31</f>
        <v>164.55</v>
      </c>
      <c r="E18" s="87">
        <f>+WoodfordW!I52</f>
        <v>48.750000000000014</v>
      </c>
      <c r="F18" s="87">
        <f>+WoodfordW!I61</f>
        <v>0</v>
      </c>
      <c r="G18" s="87">
        <f>-WoodfordW!I41-WoodfordW!I43-WoodfordW!I44-WoodfordW!I47-WoodfordW!I49</f>
        <v>-6.15</v>
      </c>
      <c r="H18" s="87">
        <f t="shared" si="0"/>
        <v>207.15</v>
      </c>
      <c r="I18" s="87">
        <f t="shared" si="1"/>
        <v>13.15</v>
      </c>
      <c r="J18" s="88">
        <f t="shared" si="2"/>
        <v>220.3</v>
      </c>
      <c r="L18" s="85">
        <f>+COUNTIF(WoodfordW!$J$5:$J$29,"&gt;0")</f>
        <v>19</v>
      </c>
      <c r="M18" s="87">
        <f>+WoodfordW!J31</f>
        <v>155.05000000000004</v>
      </c>
      <c r="O18" s="85">
        <f>+COUNTIF(WoodfordW!$K$5:$K$29,"&gt;0")</f>
        <v>14</v>
      </c>
      <c r="P18" s="87">
        <f>+WoodfordW!K31</f>
        <v>127.55000000000001</v>
      </c>
      <c r="R18" s="85">
        <f>+COUNTIF(WoodfordW!$L$5:$L$29,"&gt;0")</f>
        <v>9</v>
      </c>
      <c r="S18" s="87">
        <f>+WoodfordW!L31</f>
        <v>113.6</v>
      </c>
      <c r="U18" s="85">
        <f>+COUNTIF(WoodfordW!$M$5:$M$29,"&gt;0")</f>
        <v>5</v>
      </c>
      <c r="V18" s="87">
        <f>+WoodfordW!M31</f>
        <v>65.5</v>
      </c>
      <c r="X18" s="84">
        <v>12</v>
      </c>
      <c r="Y18" s="84"/>
      <c r="Z18" s="84">
        <v>1</v>
      </c>
      <c r="AA18" s="85">
        <f>V32</f>
        <v>55</v>
      </c>
    </row>
    <row r="19" spans="1:27" s="81" customFormat="1" ht="15" customHeight="1">
      <c r="A19" s="86" t="s">
        <v>493</v>
      </c>
      <c r="C19" s="85">
        <f>+COUNTIF(Chaplin!$I$5:$I$29,"&gt;0")</f>
        <v>25</v>
      </c>
      <c r="D19" s="87">
        <f>+Chaplin!I31</f>
        <v>171.19999999999996</v>
      </c>
      <c r="E19" s="87">
        <f>+Chaplin!I54</f>
        <v>48.90000000000002</v>
      </c>
      <c r="F19" s="87">
        <f>+Chaplin!I63</f>
        <v>0</v>
      </c>
      <c r="G19" s="87">
        <f>-Chaplin!I38-Chaplin!I41-Chaplin!I37-Chaplin!I40</f>
        <v>-13</v>
      </c>
      <c r="H19" s="87">
        <f t="shared" si="0"/>
        <v>207.09999999999997</v>
      </c>
      <c r="I19" s="87">
        <f t="shared" si="1"/>
        <v>13.1</v>
      </c>
      <c r="J19" s="88">
        <f t="shared" si="2"/>
        <v>220.19999999999996</v>
      </c>
      <c r="L19" s="85">
        <f>+COUNTIF(Chaplin!$J$5:$J$29,"&gt;0")</f>
        <v>16</v>
      </c>
      <c r="M19" s="87">
        <f>+Chaplin!J31</f>
        <v>152.15000000000003</v>
      </c>
      <c r="O19" s="85">
        <f>+COUNTIF(Chaplin!$K$5:$K$29,"&gt;0")</f>
        <v>14</v>
      </c>
      <c r="P19" s="87">
        <f>+Chaplin!K31</f>
        <v>126.60000000000001</v>
      </c>
      <c r="R19" s="85">
        <f>+COUNTIF(Chaplin!$L$5:$L$29,"&gt;0")</f>
        <v>6</v>
      </c>
      <c r="S19" s="87">
        <f>+Chaplin!L31</f>
        <v>44.699999999999996</v>
      </c>
      <c r="U19" s="85">
        <f>+COUNTIF(Chaplin!$M$5:$M$29,"&gt;0")</f>
        <v>3</v>
      </c>
      <c r="V19" s="87">
        <f>+Chaplin!M31</f>
        <v>11.6</v>
      </c>
      <c r="X19" s="84">
        <v>20</v>
      </c>
      <c r="Y19" s="84"/>
      <c r="Z19" s="84"/>
      <c r="AA19" s="85">
        <v>0</v>
      </c>
    </row>
    <row r="20" spans="1:27" s="81" customFormat="1" ht="15" customHeight="1">
      <c r="A20" s="86" t="s">
        <v>16</v>
      </c>
      <c r="C20" s="85">
        <f>+COUNTIF(WoodfordB!$I$5:$I$29,"&gt;0")</f>
        <v>25</v>
      </c>
      <c r="D20" s="87">
        <f>+WoodfordB!I31</f>
        <v>199.45</v>
      </c>
      <c r="E20" s="87">
        <f>+WoodfordB!I56</f>
        <v>24.95</v>
      </c>
      <c r="F20" s="87">
        <f>+WoodfordB!I65</f>
        <v>-8</v>
      </c>
      <c r="G20" s="90">
        <f>-WoodfordB!I38-WoodfordB!I45-WoodfordB!I14-WoodfordB!I11-WoodfordB!I44</f>
        <v>-13.750000000000002</v>
      </c>
      <c r="H20" s="87">
        <f t="shared" si="0"/>
        <v>202.64999999999998</v>
      </c>
      <c r="I20" s="87">
        <f t="shared" si="1"/>
        <v>8.65</v>
      </c>
      <c r="J20" s="88">
        <f t="shared" si="2"/>
        <v>211.29999999999998</v>
      </c>
      <c r="L20" s="85">
        <f>+COUNTIF(WoodfordB!$J$5:$J$29,"&gt;0")</f>
        <v>18</v>
      </c>
      <c r="M20" s="87">
        <f>+WoodfordB!J31</f>
        <v>134.65000000000003</v>
      </c>
      <c r="O20" s="85">
        <f>+COUNTIF(WoodfordB!$K$5:$K$29,"&gt;0")</f>
        <v>13</v>
      </c>
      <c r="P20" s="87">
        <f>+WoodfordB!K31</f>
        <v>59.45000000000001</v>
      </c>
      <c r="R20" s="85">
        <f>+COUNTIF(WoodfordB!$L$5:$L$29,"&gt;0")</f>
        <v>8</v>
      </c>
      <c r="S20" s="87">
        <f>+WoodfordB!L31</f>
        <v>48.10000000000001</v>
      </c>
      <c r="U20" s="85">
        <f>+COUNTIF(WoodfordB!$M$5:$M$29,"&gt;0")</f>
        <v>6</v>
      </c>
      <c r="V20" s="87">
        <f>+WoodfordB!M31</f>
        <v>44.500000000000014</v>
      </c>
      <c r="X20" s="84">
        <v>7</v>
      </c>
      <c r="Y20" s="84"/>
      <c r="Z20" s="84"/>
      <c r="AA20" s="85">
        <f>P33</f>
        <v>96</v>
      </c>
    </row>
    <row r="21" spans="1:27" s="81" customFormat="1" ht="15" customHeight="1">
      <c r="A21" s="86" t="s">
        <v>362</v>
      </c>
      <c r="C21" s="85">
        <f>+COUNTIF(Wilt!$I$5:$I$29,"&gt;0")</f>
        <v>25</v>
      </c>
      <c r="D21" s="87">
        <f>+Wilt!I31</f>
        <v>177.09999999999982</v>
      </c>
      <c r="E21" s="87">
        <f>+Wilt!I52</f>
        <v>22.199999999999996</v>
      </c>
      <c r="F21" s="87">
        <f>+Wilt!I61</f>
        <v>0</v>
      </c>
      <c r="G21" s="87">
        <v>0</v>
      </c>
      <c r="H21" s="87">
        <f t="shared" si="0"/>
        <v>199.2999999999998</v>
      </c>
      <c r="I21" s="87">
        <f t="shared" si="1"/>
        <v>5.3</v>
      </c>
      <c r="J21" s="88">
        <f t="shared" si="2"/>
        <v>204.59999999999982</v>
      </c>
      <c r="L21" s="85">
        <f>+COUNTIF(Wilt!$J$5:$J$29,"&gt;0")</f>
        <v>10</v>
      </c>
      <c r="M21" s="87">
        <f>+Wilt!J31</f>
        <v>128.64999999999998</v>
      </c>
      <c r="O21" s="85">
        <f>+COUNTIF(Wilt!$K$5:$K$29,"&gt;0")</f>
        <v>2</v>
      </c>
      <c r="P21" s="87">
        <f>+Wilt!K31</f>
        <v>3.8499999999999996</v>
      </c>
      <c r="R21" s="85">
        <f>+COUNTIF(Wilt!$L$5:$L$29,"&gt;0")</f>
        <v>1</v>
      </c>
      <c r="S21" s="87">
        <f>+Wilt!L31</f>
        <v>1.95</v>
      </c>
      <c r="U21" s="85">
        <f>+COUNTIF(Wilt!$M$5:$M$29,"&gt;0")</f>
        <v>1</v>
      </c>
      <c r="V21" s="87">
        <f>+Wilt!M31</f>
        <v>1.95</v>
      </c>
      <c r="X21" s="84">
        <v>15</v>
      </c>
      <c r="Y21" s="84"/>
      <c r="Z21" s="84">
        <v>2</v>
      </c>
      <c r="AA21" s="85">
        <f>V32*Z21</f>
        <v>110</v>
      </c>
    </row>
    <row r="22" spans="1:27" s="81" customFormat="1" ht="15" customHeight="1">
      <c r="A22" s="86" t="s">
        <v>24</v>
      </c>
      <c r="C22" s="85">
        <f>+COUNTIF(Meinen!$I$5:$I$29,"&gt;0")</f>
        <v>25</v>
      </c>
      <c r="D22" s="87">
        <f>+Meinen!I31</f>
        <v>143.54999999999993</v>
      </c>
      <c r="E22" s="87">
        <f>+Meinen!I56</f>
        <v>62.95000000000004</v>
      </c>
      <c r="F22" s="87">
        <f>+Meinen!I65</f>
        <v>0</v>
      </c>
      <c r="G22" s="87">
        <f>-Meinen!I37-Meinen!I40-Meinen!I42-Meinen!I45-Meinen!I54</f>
        <v>-12.55</v>
      </c>
      <c r="H22" s="87">
        <f t="shared" si="0"/>
        <v>193.94999999999996</v>
      </c>
      <c r="I22" s="87">
        <f t="shared" si="1"/>
        <v>0</v>
      </c>
      <c r="J22" s="88">
        <f t="shared" si="2"/>
        <v>193.94999999999996</v>
      </c>
      <c r="L22" s="85">
        <f>+COUNTIF(Meinen!$J$5:$J$29,"&gt;0")</f>
        <v>13</v>
      </c>
      <c r="M22" s="87">
        <f>+Meinen!J31</f>
        <v>92.7</v>
      </c>
      <c r="O22" s="85">
        <f>+COUNTIF(Meinen!$K$5:$K$29,"&gt;0")</f>
        <v>10</v>
      </c>
      <c r="P22" s="87">
        <f>+Meinen!K31</f>
        <v>80</v>
      </c>
      <c r="R22" s="85">
        <f>+COUNTIF(Meinen!$L$5:$L$29,"&gt;0")</f>
        <v>9</v>
      </c>
      <c r="S22" s="87">
        <f>+Meinen!L31</f>
        <v>77.95</v>
      </c>
      <c r="U22" s="85">
        <f>+COUNTIF(Meinen!$M$5:$M$29,"&gt;0")</f>
        <v>4</v>
      </c>
      <c r="V22" s="87">
        <f>+Meinen!M31</f>
        <v>57.25000000000001</v>
      </c>
      <c r="X22" s="84">
        <v>9</v>
      </c>
      <c r="Y22" s="84"/>
      <c r="Z22" s="84"/>
      <c r="AA22" s="85">
        <v>0</v>
      </c>
    </row>
    <row r="23" spans="1:27" s="81" customFormat="1" ht="15" customHeight="1">
      <c r="A23" s="86" t="s">
        <v>364</v>
      </c>
      <c r="C23" s="85">
        <f>+COUNTIF(Roberts!$I$5:$I$29,"&gt;0")</f>
        <v>25</v>
      </c>
      <c r="D23" s="87">
        <f>+Roberts!I31</f>
        <v>203.6</v>
      </c>
      <c r="E23" s="87">
        <f>+Roberts!I52</f>
        <v>4.45</v>
      </c>
      <c r="F23" s="87">
        <f>+Roberts!I63</f>
        <v>-14.55</v>
      </c>
      <c r="G23" s="87">
        <v>0</v>
      </c>
      <c r="H23" s="87">
        <f t="shared" si="0"/>
        <v>193.49999999999997</v>
      </c>
      <c r="I23" s="87">
        <f t="shared" si="1"/>
        <v>0</v>
      </c>
      <c r="J23" s="88">
        <f t="shared" si="2"/>
        <v>193.49999999999997</v>
      </c>
      <c r="L23" s="85">
        <f>+COUNTIF(Roberts!$J$5:$J$29,"&gt;0")</f>
        <v>20</v>
      </c>
      <c r="M23" s="87">
        <f>+Roberts!J31</f>
        <v>175.8</v>
      </c>
      <c r="O23" s="85">
        <f>+COUNTIF(Roberts!$K$5:$K$29,"&gt;0")</f>
        <v>14</v>
      </c>
      <c r="P23" s="87">
        <f>+Roberts!K31</f>
        <v>121.60000000000001</v>
      </c>
      <c r="R23" s="85">
        <f>+COUNTIF(Roberts!$L$5:$L$29,"&gt;0")</f>
        <v>10</v>
      </c>
      <c r="S23" s="87">
        <f>+Roberts!L31</f>
        <v>70.75</v>
      </c>
      <c r="U23" s="85">
        <f>+COUNTIF(Roberts!$M$5:$M$29,"&gt;0")</f>
        <v>5</v>
      </c>
      <c r="V23" s="87">
        <f>+Roberts!M31</f>
        <v>54.7</v>
      </c>
      <c r="X23" s="84">
        <v>14</v>
      </c>
      <c r="Y23" s="84"/>
      <c r="Z23" s="84"/>
      <c r="AA23" s="85">
        <v>0</v>
      </c>
    </row>
    <row r="24" spans="1:27" s="81" customFormat="1" ht="15" customHeight="1">
      <c r="A24" s="86" t="s">
        <v>23</v>
      </c>
      <c r="B24" s="86"/>
      <c r="C24" s="85">
        <f>+COUNTIF(Chockalingam!$I$5:$I$29,"&gt;0")</f>
        <v>25</v>
      </c>
      <c r="D24" s="87">
        <f>+Chockalingam!I31</f>
        <v>156.49999999999997</v>
      </c>
      <c r="E24" s="87">
        <f>+Chockalingam!I52</f>
        <v>35.800000000000004</v>
      </c>
      <c r="F24" s="87">
        <f>+Chockalingam!I61</f>
        <v>0</v>
      </c>
      <c r="G24" s="87">
        <v>0</v>
      </c>
      <c r="H24" s="87">
        <f t="shared" si="0"/>
        <v>192.29999999999998</v>
      </c>
      <c r="I24" s="87">
        <f t="shared" si="1"/>
        <v>0</v>
      </c>
      <c r="J24" s="88">
        <f t="shared" si="2"/>
        <v>192.29999999999998</v>
      </c>
      <c r="L24" s="85">
        <f>+COUNTIF(Chockalingam!$J$5:$J$29,"&gt;0")</f>
        <v>19</v>
      </c>
      <c r="M24" s="87">
        <f>+Chockalingam!J31</f>
        <v>99</v>
      </c>
      <c r="O24" s="85">
        <f>+COUNTIF(Chockalingam!$K$5:$K$29,"&gt;0")</f>
        <v>10</v>
      </c>
      <c r="P24" s="87">
        <f>+Chockalingam!K31</f>
        <v>57.349999999999994</v>
      </c>
      <c r="R24" s="85">
        <f>+COUNTIF(Chockalingam!$L$5:$L$29,"&gt;0")</f>
        <v>5</v>
      </c>
      <c r="S24" s="87">
        <f>+Chockalingam!L31</f>
        <v>23.4</v>
      </c>
      <c r="U24" s="85">
        <f>+COUNTIF(Chockalingam!$M$5:$M$29,"&gt;0")</f>
        <v>3</v>
      </c>
      <c r="V24" s="87">
        <f>+Chockalingam!M31</f>
        <v>13.599999999999998</v>
      </c>
      <c r="X24" s="84">
        <v>16</v>
      </c>
      <c r="Y24" s="84"/>
      <c r="Z24" s="84"/>
      <c r="AA24" s="85">
        <v>0</v>
      </c>
    </row>
    <row r="25" spans="1:27" s="81" customFormat="1" ht="15" customHeight="1">
      <c r="A25" s="86" t="s">
        <v>21</v>
      </c>
      <c r="C25" s="85">
        <f>+COUNTIF(Adkisson!$I$5:$I$29,"&gt;0")</f>
        <v>25</v>
      </c>
      <c r="D25" s="87">
        <f>+Adkisson!I31</f>
        <v>154.84999999999994</v>
      </c>
      <c r="E25" s="87">
        <f>+Adkisson!I56</f>
        <v>43.200000000000024</v>
      </c>
      <c r="F25" s="87">
        <f>+Adkisson!I65</f>
        <v>0</v>
      </c>
      <c r="G25" s="87">
        <f>-Adkisson!I43-Adkisson!I46-Adkisson!I50</f>
        <v>-6.050000000000001</v>
      </c>
      <c r="H25" s="87">
        <f t="shared" si="0"/>
        <v>191.99999999999994</v>
      </c>
      <c r="I25" s="87">
        <f t="shared" si="1"/>
        <v>0</v>
      </c>
      <c r="J25" s="88">
        <f t="shared" si="2"/>
        <v>191.99999999999994</v>
      </c>
      <c r="L25" s="85">
        <f>+COUNTIF(Adkisson!$J$5:$J$29,"&gt;0")</f>
        <v>20</v>
      </c>
      <c r="M25" s="87">
        <f>+Adkisson!J31</f>
        <v>128.85</v>
      </c>
      <c r="O25" s="85">
        <f>+COUNTIF(Adkisson!$K$5:$K$29,"&gt;0")</f>
        <v>14</v>
      </c>
      <c r="P25" s="87">
        <f>+Adkisson!K31</f>
        <v>99.60000000000001</v>
      </c>
      <c r="R25" s="85">
        <f>+COUNTIF(Adkisson!$L$5:$L$29,"&gt;0")</f>
        <v>8</v>
      </c>
      <c r="S25" s="87">
        <f>+Adkisson!L31</f>
        <v>84.3</v>
      </c>
      <c r="U25" s="85">
        <f>+COUNTIF(Adkisson!$M$5:$M$29,"&gt;0")</f>
        <v>4</v>
      </c>
      <c r="V25" s="87">
        <f>+Adkisson!M31</f>
        <v>39.75</v>
      </c>
      <c r="X25" s="84">
        <v>13</v>
      </c>
      <c r="Y25" s="84"/>
      <c r="Z25" s="84"/>
      <c r="AA25" s="85">
        <v>0</v>
      </c>
    </row>
    <row r="26" spans="1:27" s="81" customFormat="1" ht="15" customHeight="1">
      <c r="A26" s="86" t="s">
        <v>18</v>
      </c>
      <c r="B26" s="86"/>
      <c r="C26" s="85">
        <f>+COUNTIF(Rittenhouse!$I$5:$I$29,"&gt;0")</f>
        <v>25</v>
      </c>
      <c r="D26" s="87">
        <f>+Rittenhouse!I31</f>
        <v>162.09999999999997</v>
      </c>
      <c r="E26" s="87">
        <f>+Rittenhouse!I53</f>
        <v>71.80000000000001</v>
      </c>
      <c r="F26" s="87">
        <f>+Rittenhouse!I63</f>
        <v>0</v>
      </c>
      <c r="G26" s="87">
        <f>-Rittenhouse!I6-Rittenhouse!I42-Rittenhouse!I43</f>
        <v>-65.05</v>
      </c>
      <c r="H26" s="87">
        <f t="shared" si="0"/>
        <v>168.84999999999997</v>
      </c>
      <c r="I26" s="87">
        <f t="shared" si="1"/>
        <v>0</v>
      </c>
      <c r="J26" s="88">
        <f t="shared" si="2"/>
        <v>168.84999999999997</v>
      </c>
      <c r="L26" s="85">
        <f>+COUNTIF(Rittenhouse!$J$5:$J$29,"&gt;0")</f>
        <v>19</v>
      </c>
      <c r="M26" s="87">
        <f>+Rittenhouse!J31</f>
        <v>121.85</v>
      </c>
      <c r="O26" s="85">
        <f>+COUNTIF(Rittenhouse!$K$5:$K$29,"&gt;0")</f>
        <v>14</v>
      </c>
      <c r="P26" s="87">
        <f>+Rittenhouse!K31</f>
        <v>76.95</v>
      </c>
      <c r="R26" s="85">
        <f>+COUNTIF(Rittenhouse!$L$5:$L$29,"&gt;0")</f>
        <v>12</v>
      </c>
      <c r="S26" s="87">
        <f>+Rittenhouse!L31</f>
        <v>72.3</v>
      </c>
      <c r="U26" s="85">
        <f>+COUNTIF(Rittenhouse!$M$5:$M$29,"&gt;0")</f>
        <v>6</v>
      </c>
      <c r="V26" s="87">
        <f>+Rittenhouse!M31</f>
        <v>61.25000000000001</v>
      </c>
      <c r="X26" s="84">
        <v>18</v>
      </c>
      <c r="Y26" s="84"/>
      <c r="Z26" s="84"/>
      <c r="AA26" s="85">
        <v>0</v>
      </c>
    </row>
    <row r="27" spans="1:27" s="81" customFormat="1" ht="15" customHeight="1">
      <c r="A27" s="91"/>
      <c r="B27" s="92"/>
      <c r="C27" s="93"/>
      <c r="D27" s="94"/>
      <c r="E27" s="94"/>
      <c r="F27" s="94"/>
      <c r="G27" s="94"/>
      <c r="H27" s="94"/>
      <c r="I27" s="94"/>
      <c r="J27" s="95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X27" s="84"/>
      <c r="Y27" s="84"/>
      <c r="Z27" s="84"/>
      <c r="AA27" s="85">
        <f>SUM(AA7:AA26)</f>
        <v>4458</v>
      </c>
    </row>
    <row r="28" ht="7.5" customHeight="1"/>
    <row r="29" spans="4:22" ht="12.75">
      <c r="D29" s="96" t="s">
        <v>26</v>
      </c>
      <c r="E29" s="96"/>
      <c r="F29" s="97"/>
      <c r="G29" s="82" t="s">
        <v>27</v>
      </c>
      <c r="H29" s="98" t="s">
        <v>28</v>
      </c>
      <c r="I29" s="98" t="s">
        <v>2</v>
      </c>
      <c r="J29" s="98" t="s">
        <v>10</v>
      </c>
      <c r="L29" s="99" t="s">
        <v>29</v>
      </c>
      <c r="M29" s="99"/>
      <c r="N29" s="99"/>
      <c r="O29" s="99"/>
      <c r="P29" s="99"/>
      <c r="R29" s="99" t="s">
        <v>30</v>
      </c>
      <c r="S29" s="99"/>
      <c r="T29" s="98"/>
      <c r="U29" s="99" t="s">
        <v>31</v>
      </c>
      <c r="V29" s="99"/>
    </row>
    <row r="30" spans="7:8" ht="6" customHeight="1">
      <c r="G30" s="100"/>
      <c r="H30" s="101"/>
    </row>
    <row r="31" spans="1:22" ht="15.75">
      <c r="A31" s="102" t="s">
        <v>32</v>
      </c>
      <c r="B31" s="102"/>
      <c r="C31" s="102"/>
      <c r="D31" s="103">
        <f>+SUM(H7:H26)</f>
        <v>4165.7</v>
      </c>
      <c r="E31" s="103"/>
      <c r="G31" s="104">
        <v>2010</v>
      </c>
      <c r="H31" s="105">
        <v>194</v>
      </c>
      <c r="I31" s="69">
        <f>SUM(C7:C26)</f>
        <v>498</v>
      </c>
      <c r="J31" s="105">
        <f>+SUM(H7:H26)</f>
        <v>4165.7</v>
      </c>
      <c r="L31" s="104" t="s">
        <v>33</v>
      </c>
      <c r="M31" s="69">
        <f>+ROUND(($D$34-S31-V31)*0.32,0)</f>
        <v>771</v>
      </c>
      <c r="N31" s="105"/>
      <c r="O31" s="104" t="s">
        <v>34</v>
      </c>
      <c r="P31" s="69">
        <f>+ROUND(($D$34-S31-V31)*0.08,0)</f>
        <v>193</v>
      </c>
      <c r="R31" s="104" t="s">
        <v>9</v>
      </c>
      <c r="S31" s="106">
        <f>ROUND(D34*0.25,0)</f>
        <v>1115</v>
      </c>
      <c r="U31" s="104" t="s">
        <v>9</v>
      </c>
      <c r="V31" s="69">
        <f>V32*17</f>
        <v>935</v>
      </c>
    </row>
    <row r="32" spans="1:22" ht="15.75">
      <c r="A32" s="102" t="s">
        <v>8</v>
      </c>
      <c r="B32" s="102"/>
      <c r="C32" s="102"/>
      <c r="D32" s="103">
        <f>+SUM(I7:I26)</f>
        <v>542.6999999999999</v>
      </c>
      <c r="E32" s="103"/>
      <c r="G32" s="104">
        <v>2011</v>
      </c>
      <c r="H32" s="105">
        <v>214</v>
      </c>
      <c r="I32" s="69">
        <f>SUM(L7:L26)</f>
        <v>329</v>
      </c>
      <c r="J32" s="105">
        <f>SUM(M7:M26)</f>
        <v>2654.5499999999997</v>
      </c>
      <c r="L32" s="104" t="s">
        <v>35</v>
      </c>
      <c r="M32" s="69">
        <f>+ROUND(($D$34-S31-V31)*0.21,0)</f>
        <v>506</v>
      </c>
      <c r="N32" s="105"/>
      <c r="O32" s="104" t="s">
        <v>36</v>
      </c>
      <c r="P32" s="69">
        <f>+ROUND(($D$34-S31-V31)*0.06,0)</f>
        <v>144</v>
      </c>
      <c r="R32" s="104" t="s">
        <v>33</v>
      </c>
      <c r="S32" s="106">
        <f>ROUND(0.5*S31,0)</f>
        <v>558</v>
      </c>
      <c r="U32" s="104" t="s">
        <v>37</v>
      </c>
      <c r="V32" s="69">
        <v>55</v>
      </c>
    </row>
    <row r="33" spans="1:22" ht="15.75">
      <c r="A33" s="102" t="s">
        <v>38</v>
      </c>
      <c r="B33" s="102"/>
      <c r="C33" s="102"/>
      <c r="D33" s="103">
        <f>+SUM(J7:J26)</f>
        <v>4708.4</v>
      </c>
      <c r="E33" s="103"/>
      <c r="G33" s="104">
        <v>2012</v>
      </c>
      <c r="H33" s="105">
        <v>234</v>
      </c>
      <c r="I33" s="69">
        <f>SUM(O7:O26)</f>
        <v>223</v>
      </c>
      <c r="J33" s="105">
        <f>SUM(P7:P26)</f>
        <v>1692.5499999999995</v>
      </c>
      <c r="L33" s="104" t="s">
        <v>39</v>
      </c>
      <c r="M33" s="69">
        <f>+ROUND(($D$34-S31-V31)*0.16,0)</f>
        <v>385</v>
      </c>
      <c r="N33" s="105"/>
      <c r="O33" s="104" t="s">
        <v>40</v>
      </c>
      <c r="P33" s="69">
        <f>+ROUND(($D$34-S31-V31)*0.04,0)</f>
        <v>96</v>
      </c>
      <c r="R33" s="104" t="s">
        <v>35</v>
      </c>
      <c r="S33" s="106">
        <f>ROUND(0.25*S31,0)</f>
        <v>279</v>
      </c>
      <c r="V33" s="107"/>
    </row>
    <row r="34" spans="1:22" ht="15.75">
      <c r="A34" s="102" t="s">
        <v>41</v>
      </c>
      <c r="B34" s="102"/>
      <c r="C34" s="102"/>
      <c r="D34" s="108">
        <f>FLOOR(SUMIF(H7:H26,"&lt;=194",H7:H26)+194*COUNTIF(H7:H26,"&gt;194"),1)+802-194</f>
        <v>4458</v>
      </c>
      <c r="E34" s="108"/>
      <c r="G34" s="104">
        <v>2013</v>
      </c>
      <c r="H34" s="105">
        <v>254</v>
      </c>
      <c r="I34" s="69">
        <f>SUM(R7:R26)</f>
        <v>140</v>
      </c>
      <c r="J34" s="105">
        <f>SUM(S7:S26)</f>
        <v>1057.55</v>
      </c>
      <c r="L34" s="104" t="s">
        <v>42</v>
      </c>
      <c r="M34" s="69">
        <f>+ROUND(($D$34-S31-V31)*0.11,0)</f>
        <v>265</v>
      </c>
      <c r="N34" s="105"/>
      <c r="O34" s="104" t="s">
        <v>43</v>
      </c>
      <c r="P34" s="69">
        <f>+ROUND(($D$34-S31-V31-SUM(M31:M34)-SUM(P31:P33)),0)</f>
        <v>48</v>
      </c>
      <c r="R34" s="104" t="s">
        <v>39</v>
      </c>
      <c r="S34" s="106">
        <f>ROUND(0.15*S31,0)</f>
        <v>167</v>
      </c>
      <c r="V34" s="107"/>
    </row>
    <row r="35" spans="3:22" ht="15.75">
      <c r="C35" s="109" t="s">
        <v>44</v>
      </c>
      <c r="D35" s="108">
        <v>750.35</v>
      </c>
      <c r="E35" s="108"/>
      <c r="G35" s="104">
        <v>2014</v>
      </c>
      <c r="H35" s="105">
        <v>274</v>
      </c>
      <c r="I35" s="69">
        <f>SUM(U7:U26)</f>
        <v>83</v>
      </c>
      <c r="J35" s="105">
        <f>SUM(V7:V26)</f>
        <v>617.9</v>
      </c>
      <c r="N35" s="105"/>
      <c r="O35" s="104"/>
      <c r="P35" s="107"/>
      <c r="R35" s="104" t="s">
        <v>45</v>
      </c>
      <c r="S35" s="106">
        <f>S31-S32-S33-S34</f>
        <v>111</v>
      </c>
      <c r="V35" s="107"/>
    </row>
    <row r="36" spans="1:22" ht="7.5" customHeight="1">
      <c r="A36" s="110"/>
      <c r="B36" s="110"/>
      <c r="C36" s="111"/>
      <c r="D36" s="112"/>
      <c r="E36" s="112"/>
      <c r="F36" s="112"/>
      <c r="G36" s="112"/>
      <c r="H36" s="110"/>
      <c r="I36" s="113"/>
      <c r="J36" s="114"/>
      <c r="K36" s="110"/>
      <c r="L36" s="115"/>
      <c r="M36" s="114"/>
      <c r="N36" s="114"/>
      <c r="O36" s="110"/>
      <c r="P36" s="110"/>
      <c r="Q36" s="110"/>
      <c r="R36" s="110"/>
      <c r="S36" s="110"/>
      <c r="T36" s="110"/>
      <c r="U36" s="110"/>
      <c r="V36" s="116"/>
    </row>
    <row r="37" spans="11:19" ht="12.75">
      <c r="K37" s="105"/>
      <c r="R37" s="104"/>
      <c r="S37" s="107"/>
    </row>
    <row r="38" spans="1:19" ht="12.75">
      <c r="A38" s="117" t="s">
        <v>488</v>
      </c>
      <c r="K38" s="105"/>
      <c r="R38" s="104"/>
      <c r="S38" s="107"/>
    </row>
    <row r="40" ht="12.75">
      <c r="A40" s="67" t="s">
        <v>561</v>
      </c>
    </row>
    <row r="41" ht="12.75">
      <c r="A41" s="67" t="s">
        <v>562</v>
      </c>
    </row>
    <row r="42" ht="12.75">
      <c r="A42" s="67" t="s">
        <v>617</v>
      </c>
    </row>
    <row r="43" ht="12.75">
      <c r="A43" s="67" t="s">
        <v>627</v>
      </c>
    </row>
    <row r="44" ht="12.75">
      <c r="A44" s="67" t="s">
        <v>628</v>
      </c>
    </row>
    <row r="45" ht="12.75">
      <c r="A45" s="67" t="s">
        <v>684</v>
      </c>
    </row>
    <row r="46" ht="12.75">
      <c r="A46" s="67" t="s">
        <v>713</v>
      </c>
    </row>
    <row r="47" ht="12.75">
      <c r="A47" s="67" t="s">
        <v>714</v>
      </c>
    </row>
    <row r="48" ht="12.75">
      <c r="A48" s="67" t="s">
        <v>805</v>
      </c>
    </row>
    <row r="49" ht="12.75">
      <c r="A49" s="67" t="s">
        <v>807</v>
      </c>
    </row>
  </sheetData>
  <sheetProtection/>
  <mergeCells count="20">
    <mergeCell ref="A32:C32"/>
    <mergeCell ref="D32:E32"/>
    <mergeCell ref="D35:E35"/>
    <mergeCell ref="D36:G36"/>
    <mergeCell ref="A33:C33"/>
    <mergeCell ref="D33:E33"/>
    <mergeCell ref="A34:C34"/>
    <mergeCell ref="D34:E34"/>
    <mergeCell ref="D29:E29"/>
    <mergeCell ref="L29:P29"/>
    <mergeCell ref="R29:S29"/>
    <mergeCell ref="U29:V29"/>
    <mergeCell ref="A31:C31"/>
    <mergeCell ref="D31:E31"/>
    <mergeCell ref="Q1:V1"/>
    <mergeCell ref="C3:J3"/>
    <mergeCell ref="L3:M3"/>
    <mergeCell ref="O3:P3"/>
    <mergeCell ref="R3:S3"/>
    <mergeCell ref="U3:V3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9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525</v>
      </c>
      <c r="C5" s="21" t="s">
        <v>46</v>
      </c>
      <c r="D5" s="21" t="s">
        <v>67</v>
      </c>
      <c r="E5" s="26" t="s">
        <v>65</v>
      </c>
      <c r="F5" s="28">
        <v>7.8</v>
      </c>
      <c r="G5" s="29">
        <v>2014</v>
      </c>
      <c r="I5" s="30">
        <f aca="true" t="shared" si="0" ref="I5:M14">+IF($G5&gt;=I$3,$F5,0)</f>
        <v>7.8</v>
      </c>
      <c r="J5" s="30">
        <f t="shared" si="0"/>
        <v>7.8</v>
      </c>
      <c r="K5" s="30">
        <f t="shared" si="0"/>
        <v>7.8</v>
      </c>
      <c r="L5" s="30">
        <f t="shared" si="0"/>
        <v>7.8</v>
      </c>
      <c r="M5" s="30">
        <f t="shared" si="0"/>
        <v>7.8</v>
      </c>
    </row>
    <row r="6" spans="1:13" ht="12.75">
      <c r="A6" s="25">
        <v>2</v>
      </c>
      <c r="B6" s="41" t="s">
        <v>527</v>
      </c>
      <c r="C6" s="21" t="s">
        <v>48</v>
      </c>
      <c r="D6" s="21" t="s">
        <v>87</v>
      </c>
      <c r="E6" s="26" t="s">
        <v>65</v>
      </c>
      <c r="F6" s="28">
        <v>5.85</v>
      </c>
      <c r="G6" s="29">
        <v>2014</v>
      </c>
      <c r="I6" s="30">
        <f t="shared" si="0"/>
        <v>5.85</v>
      </c>
      <c r="J6" s="30">
        <f t="shared" si="0"/>
        <v>5.85</v>
      </c>
      <c r="K6" s="30">
        <f t="shared" si="0"/>
        <v>5.85</v>
      </c>
      <c r="L6" s="30">
        <f t="shared" si="0"/>
        <v>5.85</v>
      </c>
      <c r="M6" s="30">
        <f t="shared" si="0"/>
        <v>5.85</v>
      </c>
    </row>
    <row r="7" spans="1:13" ht="12.75">
      <c r="A7" s="25">
        <v>3</v>
      </c>
      <c r="B7" s="20" t="s">
        <v>532</v>
      </c>
      <c r="C7" s="21" t="s">
        <v>47</v>
      </c>
      <c r="D7" s="21" t="s">
        <v>124</v>
      </c>
      <c r="E7" s="26" t="s">
        <v>65</v>
      </c>
      <c r="F7" s="32">
        <v>2.95</v>
      </c>
      <c r="G7" s="33">
        <v>2014</v>
      </c>
      <c r="I7" s="30">
        <f t="shared" si="0"/>
        <v>2.95</v>
      </c>
      <c r="J7" s="30">
        <f t="shared" si="0"/>
        <v>2.95</v>
      </c>
      <c r="K7" s="30">
        <f t="shared" si="0"/>
        <v>2.95</v>
      </c>
      <c r="L7" s="30">
        <f t="shared" si="0"/>
        <v>2.95</v>
      </c>
      <c r="M7" s="30">
        <f t="shared" si="0"/>
        <v>2.95</v>
      </c>
    </row>
    <row r="8" spans="1:13" ht="12.75">
      <c r="A8" s="25">
        <v>4</v>
      </c>
      <c r="B8" s="41" t="s">
        <v>376</v>
      </c>
      <c r="C8" s="21" t="s">
        <v>46</v>
      </c>
      <c r="D8" s="21" t="s">
        <v>90</v>
      </c>
      <c r="E8" s="26" t="s">
        <v>65</v>
      </c>
      <c r="F8" s="28">
        <v>9.75</v>
      </c>
      <c r="G8" s="29">
        <v>2013</v>
      </c>
      <c r="I8" s="30">
        <f t="shared" si="0"/>
        <v>9.75</v>
      </c>
      <c r="J8" s="30">
        <f t="shared" si="0"/>
        <v>9.75</v>
      </c>
      <c r="K8" s="30">
        <f t="shared" si="0"/>
        <v>9.75</v>
      </c>
      <c r="L8" s="30">
        <f t="shared" si="0"/>
        <v>9.75</v>
      </c>
      <c r="M8" s="30">
        <f t="shared" si="0"/>
        <v>0</v>
      </c>
    </row>
    <row r="9" spans="1:13" ht="12.75">
      <c r="A9" s="25">
        <v>5</v>
      </c>
      <c r="B9" s="20" t="s">
        <v>396</v>
      </c>
      <c r="C9" s="21" t="s">
        <v>48</v>
      </c>
      <c r="D9" s="21" t="s">
        <v>141</v>
      </c>
      <c r="E9" s="26" t="s">
        <v>65</v>
      </c>
      <c r="F9" s="32">
        <v>3.1</v>
      </c>
      <c r="G9" s="33">
        <v>2013</v>
      </c>
      <c r="I9" s="30">
        <f t="shared" si="0"/>
        <v>3.1</v>
      </c>
      <c r="J9" s="30">
        <f t="shared" si="0"/>
        <v>3.1</v>
      </c>
      <c r="K9" s="30">
        <f t="shared" si="0"/>
        <v>3.1</v>
      </c>
      <c r="L9" s="30">
        <f t="shared" si="0"/>
        <v>3.1</v>
      </c>
      <c r="M9" s="30">
        <f t="shared" si="0"/>
        <v>0</v>
      </c>
    </row>
    <row r="10" spans="1:13" ht="12.75">
      <c r="A10" s="25">
        <v>6</v>
      </c>
      <c r="B10" s="20" t="s">
        <v>404</v>
      </c>
      <c r="C10" s="21" t="s">
        <v>47</v>
      </c>
      <c r="D10" s="21" t="s">
        <v>98</v>
      </c>
      <c r="E10" s="26" t="s">
        <v>65</v>
      </c>
      <c r="F10" s="32">
        <v>1.8</v>
      </c>
      <c r="G10" s="33">
        <v>2013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1.8</v>
      </c>
      <c r="M10" s="30">
        <f t="shared" si="0"/>
        <v>0</v>
      </c>
    </row>
    <row r="11" spans="1:13" ht="12.75">
      <c r="A11" s="25">
        <v>7</v>
      </c>
      <c r="B11" s="20" t="s">
        <v>397</v>
      </c>
      <c r="C11" s="21" t="s">
        <v>48</v>
      </c>
      <c r="D11" s="21" t="s">
        <v>88</v>
      </c>
      <c r="E11" s="21" t="s">
        <v>65</v>
      </c>
      <c r="F11" s="32">
        <v>1.8</v>
      </c>
      <c r="G11" s="33">
        <v>2013</v>
      </c>
      <c r="I11" s="30">
        <f t="shared" si="0"/>
        <v>1.8</v>
      </c>
      <c r="J11" s="30">
        <f t="shared" si="0"/>
        <v>1.8</v>
      </c>
      <c r="K11" s="30">
        <f t="shared" si="0"/>
        <v>1.8</v>
      </c>
      <c r="L11" s="30">
        <f t="shared" si="0"/>
        <v>1.8</v>
      </c>
      <c r="M11" s="30">
        <f t="shared" si="0"/>
        <v>0</v>
      </c>
    </row>
    <row r="12" spans="1:13" ht="12.75">
      <c r="A12" s="25">
        <v>8</v>
      </c>
      <c r="B12" s="20" t="s">
        <v>133</v>
      </c>
      <c r="C12" s="21" t="s">
        <v>47</v>
      </c>
      <c r="D12" s="21" t="s">
        <v>99</v>
      </c>
      <c r="E12" s="26" t="s">
        <v>65</v>
      </c>
      <c r="F12" s="28">
        <v>10.5</v>
      </c>
      <c r="G12" s="29">
        <v>2012</v>
      </c>
      <c r="I12" s="30">
        <f t="shared" si="0"/>
        <v>10.5</v>
      </c>
      <c r="J12" s="30">
        <f t="shared" si="0"/>
        <v>10.5</v>
      </c>
      <c r="K12" s="30">
        <f t="shared" si="0"/>
        <v>10.5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334</v>
      </c>
      <c r="C13" s="21" t="s">
        <v>48</v>
      </c>
      <c r="D13" s="21" t="s">
        <v>159</v>
      </c>
      <c r="E13" s="26" t="s">
        <v>65</v>
      </c>
      <c r="F13" s="28">
        <v>8.05</v>
      </c>
      <c r="G13" s="29">
        <v>2012</v>
      </c>
      <c r="I13" s="30">
        <f t="shared" si="0"/>
        <v>8.05</v>
      </c>
      <c r="J13" s="30">
        <f t="shared" si="0"/>
        <v>8.05</v>
      </c>
      <c r="K13" s="30">
        <f t="shared" si="0"/>
        <v>8.05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215</v>
      </c>
      <c r="C14" s="21" t="s">
        <v>47</v>
      </c>
      <c r="D14" s="21" t="s">
        <v>124</v>
      </c>
      <c r="E14" s="26" t="s">
        <v>65</v>
      </c>
      <c r="F14" s="28">
        <v>10.95</v>
      </c>
      <c r="G14" s="29">
        <v>2011</v>
      </c>
      <c r="I14" s="30">
        <f t="shared" si="0"/>
        <v>10.95</v>
      </c>
      <c r="J14" s="30">
        <f t="shared" si="0"/>
        <v>10.95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217</v>
      </c>
      <c r="C15" s="21" t="s">
        <v>52</v>
      </c>
      <c r="D15" s="21" t="s">
        <v>113</v>
      </c>
      <c r="E15" s="26" t="s">
        <v>65</v>
      </c>
      <c r="F15" s="28">
        <v>6.75</v>
      </c>
      <c r="G15" s="29">
        <v>2011</v>
      </c>
      <c r="I15" s="30">
        <f aca="true" t="shared" si="1" ref="I15:M29">+IF($G15&gt;=I$3,$F15,0)</f>
        <v>6.75</v>
      </c>
      <c r="J15" s="30">
        <f t="shared" si="1"/>
        <v>6.75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419</v>
      </c>
      <c r="C16" s="21" t="s">
        <v>51</v>
      </c>
      <c r="D16" s="21" t="s">
        <v>75</v>
      </c>
      <c r="E16" s="26" t="s">
        <v>65</v>
      </c>
      <c r="F16" s="28">
        <v>4.65</v>
      </c>
      <c r="G16" s="29">
        <v>2011</v>
      </c>
      <c r="I16" s="30">
        <f t="shared" si="1"/>
        <v>4.65</v>
      </c>
      <c r="J16" s="30">
        <f t="shared" si="1"/>
        <v>4.65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219</v>
      </c>
      <c r="C17" s="21" t="s">
        <v>51</v>
      </c>
      <c r="D17" s="21" t="s">
        <v>73</v>
      </c>
      <c r="E17" s="26" t="s">
        <v>65</v>
      </c>
      <c r="F17" s="32">
        <v>1.7</v>
      </c>
      <c r="G17" s="33">
        <v>2011</v>
      </c>
      <c r="I17" s="30">
        <f t="shared" si="1"/>
        <v>1.7</v>
      </c>
      <c r="J17" s="30">
        <f t="shared" si="1"/>
        <v>1.7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1" t="s">
        <v>220</v>
      </c>
      <c r="C18" s="21" t="s">
        <v>48</v>
      </c>
      <c r="D18" s="21" t="s">
        <v>86</v>
      </c>
      <c r="E18" s="26" t="s">
        <v>65</v>
      </c>
      <c r="F18" s="32">
        <v>1.5</v>
      </c>
      <c r="G18" s="33">
        <v>2011</v>
      </c>
      <c r="I18" s="30">
        <f t="shared" si="1"/>
        <v>1.5</v>
      </c>
      <c r="J18" s="30">
        <f t="shared" si="1"/>
        <v>1.5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346</v>
      </c>
      <c r="C19" s="21" t="s">
        <v>51</v>
      </c>
      <c r="D19" s="21" t="s">
        <v>100</v>
      </c>
      <c r="E19" s="21" t="s">
        <v>65</v>
      </c>
      <c r="F19" s="28">
        <v>1.5</v>
      </c>
      <c r="G19" s="29">
        <v>2011</v>
      </c>
      <c r="I19" s="30">
        <f t="shared" si="1"/>
        <v>1.5</v>
      </c>
      <c r="J19" s="30">
        <f t="shared" si="1"/>
        <v>1.5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180</v>
      </c>
      <c r="C20" s="21" t="s">
        <v>48</v>
      </c>
      <c r="D20" s="21" t="s">
        <v>113</v>
      </c>
      <c r="E20" s="26" t="s">
        <v>65</v>
      </c>
      <c r="F20" s="28">
        <v>52.25</v>
      </c>
      <c r="G20" s="29">
        <v>2010</v>
      </c>
      <c r="I20" s="30">
        <f t="shared" si="1"/>
        <v>52.25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41" t="s">
        <v>592</v>
      </c>
      <c r="C21" s="21" t="s">
        <v>46</v>
      </c>
      <c r="D21" s="21" t="s">
        <v>132</v>
      </c>
      <c r="E21" s="26" t="s">
        <v>65</v>
      </c>
      <c r="F21" s="28">
        <v>30.1</v>
      </c>
      <c r="G21" s="29">
        <v>2010</v>
      </c>
      <c r="I21" s="30">
        <f t="shared" si="1"/>
        <v>30.1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415</v>
      </c>
      <c r="C22" s="21" t="s">
        <v>49</v>
      </c>
      <c r="D22" s="21" t="s">
        <v>75</v>
      </c>
      <c r="E22" s="26" t="s">
        <v>65</v>
      </c>
      <c r="F22" s="28">
        <v>20</v>
      </c>
      <c r="G22" s="29">
        <v>2010</v>
      </c>
      <c r="I22" s="30">
        <f t="shared" si="1"/>
        <v>20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612</v>
      </c>
      <c r="C23" s="21" t="s">
        <v>52</v>
      </c>
      <c r="D23" s="21" t="s">
        <v>69</v>
      </c>
      <c r="E23" s="26" t="s">
        <v>65</v>
      </c>
      <c r="F23" s="32">
        <v>4.2</v>
      </c>
      <c r="G23" s="33">
        <v>2010</v>
      </c>
      <c r="I23" s="30">
        <f t="shared" si="1"/>
        <v>4.2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144</v>
      </c>
      <c r="C24" s="21" t="s">
        <v>50</v>
      </c>
      <c r="D24" s="21" t="s">
        <v>71</v>
      </c>
      <c r="E24" s="26" t="s">
        <v>65</v>
      </c>
      <c r="F24" s="32">
        <v>2.65</v>
      </c>
      <c r="G24" s="33">
        <v>2010</v>
      </c>
      <c r="I24" s="30">
        <f t="shared" si="1"/>
        <v>2.65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2" t="s">
        <v>257</v>
      </c>
      <c r="C25" s="21" t="s">
        <v>48</v>
      </c>
      <c r="D25" s="21" t="s">
        <v>99</v>
      </c>
      <c r="E25" s="26" t="s">
        <v>65</v>
      </c>
      <c r="F25" s="28">
        <v>2</v>
      </c>
      <c r="G25" s="29">
        <v>2010</v>
      </c>
      <c r="I25" s="30">
        <f t="shared" si="1"/>
        <v>2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706</v>
      </c>
      <c r="C26" s="21" t="s">
        <v>52</v>
      </c>
      <c r="D26" s="21" t="s">
        <v>69</v>
      </c>
      <c r="E26" s="26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145</v>
      </c>
      <c r="C27" s="21" t="s">
        <v>49</v>
      </c>
      <c r="D27" s="21" t="s">
        <v>146</v>
      </c>
      <c r="E27" s="21" t="s">
        <v>65</v>
      </c>
      <c r="F27" s="32">
        <v>1.35</v>
      </c>
      <c r="G27" s="33">
        <v>2010</v>
      </c>
      <c r="I27" s="30">
        <f t="shared" si="1"/>
        <v>1.35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742</v>
      </c>
      <c r="C28" s="21" t="s">
        <v>394</v>
      </c>
      <c r="D28" s="21" t="s">
        <v>67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754</v>
      </c>
      <c r="C29" s="21" t="s">
        <v>51</v>
      </c>
      <c r="D29" s="21" t="s">
        <v>141</v>
      </c>
      <c r="E29" s="26" t="s">
        <v>65</v>
      </c>
      <c r="F29" s="28">
        <v>1.95</v>
      </c>
      <c r="G29" s="29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197.04999999999995</v>
      </c>
      <c r="J31" s="36">
        <f>+SUM(J5:J29)</f>
        <v>78.65</v>
      </c>
      <c r="K31" s="36">
        <f>+SUM(K5:K29)</f>
        <v>51.599999999999994</v>
      </c>
      <c r="L31" s="36">
        <f>+SUM(L5:L29)</f>
        <v>33.05</v>
      </c>
      <c r="M31" s="36">
        <f>+SUM(M5:M29)</f>
        <v>16.599999999999998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216</v>
      </c>
      <c r="C37" s="21" t="s">
        <v>47</v>
      </c>
      <c r="D37" s="21" t="s">
        <v>64</v>
      </c>
      <c r="E37" s="26">
        <v>2008</v>
      </c>
      <c r="F37" s="32">
        <v>8.05</v>
      </c>
      <c r="G37" s="33">
        <v>2011</v>
      </c>
      <c r="I37" s="30">
        <f aca="true" t="shared" si="2" ref="I37:I46">+CEILING(IF($I$35=E37,F37,IF($I$35&lt;=G37,F37*0.3,0)),0.05)</f>
        <v>2.45</v>
      </c>
      <c r="J37" s="30">
        <f aca="true" t="shared" si="3" ref="J37:J46">+CEILING(IF($J$35&lt;=G37,F37*0.3,0),0.05)</f>
        <v>2.45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225</v>
      </c>
      <c r="C38" s="21" t="s">
        <v>52</v>
      </c>
      <c r="D38" s="21" t="s">
        <v>101</v>
      </c>
      <c r="E38" s="26">
        <v>2006</v>
      </c>
      <c r="F38" s="28">
        <v>3.4</v>
      </c>
      <c r="G38" s="29">
        <v>2010</v>
      </c>
      <c r="I38" s="30">
        <f t="shared" si="2"/>
        <v>1.05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226</v>
      </c>
      <c r="C39" s="21" t="s">
        <v>49</v>
      </c>
      <c r="D39" s="21" t="s">
        <v>80</v>
      </c>
      <c r="E39" s="26">
        <v>2006</v>
      </c>
      <c r="F39" s="32">
        <v>1.35</v>
      </c>
      <c r="G39" s="33">
        <v>2010</v>
      </c>
      <c r="I39" s="30">
        <f t="shared" si="2"/>
        <v>0.45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227</v>
      </c>
      <c r="C40" s="21" t="s">
        <v>48</v>
      </c>
      <c r="D40" s="21" t="s">
        <v>73</v>
      </c>
      <c r="E40" s="26">
        <v>2006</v>
      </c>
      <c r="F40" s="32">
        <v>1.35</v>
      </c>
      <c r="G40" s="33">
        <v>2010</v>
      </c>
      <c r="I40" s="30">
        <f t="shared" si="2"/>
        <v>0.45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228</v>
      </c>
      <c r="C41" s="21" t="s">
        <v>48</v>
      </c>
      <c r="D41" s="21" t="s">
        <v>85</v>
      </c>
      <c r="E41" s="26">
        <v>2007</v>
      </c>
      <c r="F41" s="28">
        <v>1.35</v>
      </c>
      <c r="G41" s="29">
        <v>2010</v>
      </c>
      <c r="I41" s="30">
        <f t="shared" si="2"/>
        <v>0.45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229</v>
      </c>
      <c r="C42" s="21" t="s">
        <v>48</v>
      </c>
      <c r="D42" s="21" t="s">
        <v>73</v>
      </c>
      <c r="E42" s="26">
        <v>2007</v>
      </c>
      <c r="F42" s="32">
        <v>1.35</v>
      </c>
      <c r="G42" s="33">
        <v>2010</v>
      </c>
      <c r="I42" s="30">
        <f t="shared" si="2"/>
        <v>0.45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230</v>
      </c>
      <c r="C43" s="21" t="s">
        <v>47</v>
      </c>
      <c r="D43" s="21" t="s">
        <v>113</v>
      </c>
      <c r="E43" s="26">
        <v>2007</v>
      </c>
      <c r="F43" s="28">
        <v>1.35</v>
      </c>
      <c r="G43" s="29">
        <v>2010</v>
      </c>
      <c r="I43" s="30">
        <f t="shared" si="2"/>
        <v>0.45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223</v>
      </c>
      <c r="C44" s="21" t="s">
        <v>49</v>
      </c>
      <c r="D44" s="21" t="s">
        <v>89</v>
      </c>
      <c r="E44" s="26">
        <v>2009</v>
      </c>
      <c r="F44" s="28">
        <v>1.35</v>
      </c>
      <c r="G44" s="29">
        <v>2010</v>
      </c>
      <c r="I44" s="30">
        <f t="shared" si="2"/>
        <v>0.45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222</v>
      </c>
      <c r="C45" s="21" t="s">
        <v>52</v>
      </c>
      <c r="D45" s="21" t="s">
        <v>159</v>
      </c>
      <c r="E45" s="26">
        <v>2009</v>
      </c>
      <c r="F45" s="28">
        <v>6.75</v>
      </c>
      <c r="G45" s="29">
        <v>2010</v>
      </c>
      <c r="I45" s="30">
        <f t="shared" si="2"/>
        <v>2.0500000000000003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715</v>
      </c>
      <c r="C46" s="21" t="s">
        <v>51</v>
      </c>
      <c r="D46" s="21" t="s">
        <v>88</v>
      </c>
      <c r="E46" s="26">
        <v>2010</v>
      </c>
      <c r="F46" s="28">
        <v>1.95</v>
      </c>
      <c r="G46" s="29">
        <v>2010</v>
      </c>
      <c r="I46" s="30">
        <f t="shared" si="2"/>
        <v>1.9500000000000002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350</v>
      </c>
      <c r="C47" s="21" t="s">
        <v>46</v>
      </c>
      <c r="D47" s="21" t="s">
        <v>77</v>
      </c>
      <c r="E47" s="26">
        <v>2010</v>
      </c>
      <c r="F47" s="28">
        <v>1.95</v>
      </c>
      <c r="G47" s="29">
        <v>2010</v>
      </c>
      <c r="I47" s="30">
        <f>+CEILING(IF($I$35=E47,F47,IF($I$35&lt;=G47,F47*0.3,0)),0.05)</f>
        <v>1.9500000000000002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>+CEILING(IF($I$35=E48,F48,IF($I$35&lt;=G48,F48*0.3,0)),0.05)</f>
        <v>0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D49" s="21"/>
      <c r="E49" s="26"/>
      <c r="F49" s="28"/>
      <c r="G49" s="29"/>
      <c r="I49" s="30">
        <f>+CEILING(IF($I$35=E49,F49,IF($I$35&lt;=G49,F49*0.3,0)),0.05)</f>
        <v>0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1:13" ht="12.75">
      <c r="A50" s="25">
        <v>14</v>
      </c>
      <c r="D50" s="21"/>
      <c r="E50" s="26"/>
      <c r="F50" s="28"/>
      <c r="G50" s="29"/>
      <c r="I50" s="30">
        <f>+CEILING(IF($I$35=E50,F50,IF($I$35&lt;=G50,F50*0.3,0)),0.05)</f>
        <v>0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1:13" ht="12.75">
      <c r="A51" s="25">
        <v>15</v>
      </c>
      <c r="D51" s="21"/>
      <c r="E51" s="26"/>
      <c r="F51" s="28"/>
      <c r="G51" s="29"/>
      <c r="I51" s="30">
        <f>+CEILING(IF($I$35=E51,F51,IF($I$35&lt;=G51,F51*0.3,0)),0.05)</f>
        <v>0</v>
      </c>
      <c r="J51" s="30">
        <f>+CEILING(IF($J$35&lt;=G51,F51*0.3,0),0.05)</f>
        <v>0</v>
      </c>
      <c r="K51" s="30">
        <f>+CEILING(IF($K$35&lt;=G51,F51*0.3,0),0.05)</f>
        <v>0</v>
      </c>
      <c r="L51" s="30">
        <f>+CEILING(IF($L$35&lt;=G51,F51*0.3,0),0.05)</f>
        <v>0</v>
      </c>
      <c r="M51" s="30">
        <f>CEILING(IF($M$35&lt;=G51,F51*0.3,0),0.05)</f>
        <v>0</v>
      </c>
    </row>
    <row r="52" spans="9:13" ht="7.5" customHeight="1">
      <c r="I52" s="34"/>
      <c r="J52" s="34"/>
      <c r="K52" s="34"/>
      <c r="L52" s="34"/>
      <c r="M52" s="34"/>
    </row>
    <row r="53" spans="4:13" ht="12.75">
      <c r="D53" s="21"/>
      <c r="E53" s="26"/>
      <c r="F53" s="32"/>
      <c r="G53" s="33"/>
      <c r="I53" s="36">
        <f>+SUM(I37:I52)</f>
        <v>12.150000000000002</v>
      </c>
      <c r="J53" s="36">
        <f>+SUM(J37:J52)</f>
        <v>2.45</v>
      </c>
      <c r="K53" s="36">
        <f>+SUM(K37:K52)</f>
        <v>0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61" t="s">
        <v>104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105</v>
      </c>
      <c r="C57" s="23"/>
      <c r="D57" s="23"/>
      <c r="E57" s="23"/>
      <c r="F57" s="23" t="s">
        <v>106</v>
      </c>
      <c r="G57" s="23" t="s">
        <v>27</v>
      </c>
      <c r="I57" s="24">
        <f>+I$3</f>
        <v>2010</v>
      </c>
      <c r="J57" s="24">
        <f>+J$3</f>
        <v>2011</v>
      </c>
      <c r="K57" s="24">
        <f>+K$3</f>
        <v>2012</v>
      </c>
      <c r="L57" s="24">
        <f>+L$3</f>
        <v>2013</v>
      </c>
      <c r="M57" s="24">
        <f>+M$3</f>
        <v>2014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9" t="s">
        <v>712</v>
      </c>
      <c r="C59" s="59"/>
      <c r="D59" s="59"/>
      <c r="E59" s="59"/>
      <c r="F59" s="27">
        <v>10</v>
      </c>
      <c r="G59" s="33">
        <v>2010</v>
      </c>
      <c r="I59" s="39">
        <f>F59</f>
        <v>10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59"/>
      <c r="C60" s="59"/>
      <c r="D60" s="59"/>
      <c r="E60" s="59"/>
      <c r="F60" s="27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B61" s="59"/>
      <c r="C61" s="59"/>
      <c r="D61" s="59"/>
      <c r="E61" s="59"/>
      <c r="F61" s="27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10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6">
    <mergeCell ref="B60:E60"/>
    <mergeCell ref="B61:E61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1" t="s">
        <v>550</v>
      </c>
      <c r="C5" s="21" t="s">
        <v>48</v>
      </c>
      <c r="D5" s="21" t="s">
        <v>64</v>
      </c>
      <c r="E5" s="26" t="s">
        <v>65</v>
      </c>
      <c r="F5" s="28">
        <v>1.95</v>
      </c>
      <c r="G5" s="29">
        <v>2014</v>
      </c>
      <c r="I5" s="30">
        <f aca="true" t="shared" si="0" ref="I5:M14">+IF($G5&gt;=I$3,$F5,0)</f>
        <v>1.95</v>
      </c>
      <c r="J5" s="30">
        <f t="shared" si="0"/>
        <v>1.95</v>
      </c>
      <c r="K5" s="30">
        <f t="shared" si="0"/>
        <v>1.95</v>
      </c>
      <c r="L5" s="30">
        <f t="shared" si="0"/>
        <v>1.95</v>
      </c>
      <c r="M5" s="30">
        <f t="shared" si="0"/>
        <v>1.95</v>
      </c>
    </row>
    <row r="6" spans="1:13" ht="12.75">
      <c r="A6" s="25">
        <v>2</v>
      </c>
      <c r="B6" s="20" t="s">
        <v>375</v>
      </c>
      <c r="C6" s="21" t="s">
        <v>48</v>
      </c>
      <c r="D6" s="21" t="s">
        <v>87</v>
      </c>
      <c r="E6" s="26" t="s">
        <v>65</v>
      </c>
      <c r="F6" s="32">
        <v>1.8</v>
      </c>
      <c r="G6" s="33">
        <v>2013</v>
      </c>
      <c r="I6" s="30">
        <f t="shared" si="0"/>
        <v>1.8</v>
      </c>
      <c r="J6" s="30">
        <f t="shared" si="0"/>
        <v>1.8</v>
      </c>
      <c r="K6" s="30">
        <f t="shared" si="0"/>
        <v>1.8</v>
      </c>
      <c r="L6" s="30">
        <f t="shared" si="0"/>
        <v>1.8</v>
      </c>
      <c r="M6" s="30">
        <f t="shared" si="0"/>
        <v>0</v>
      </c>
    </row>
    <row r="7" spans="1:13" ht="12.75">
      <c r="A7" s="25">
        <v>3</v>
      </c>
      <c r="B7" s="20" t="s">
        <v>377</v>
      </c>
      <c r="C7" s="21" t="s">
        <v>51</v>
      </c>
      <c r="D7" s="21" t="s">
        <v>113</v>
      </c>
      <c r="E7" s="26" t="s">
        <v>65</v>
      </c>
      <c r="F7" s="28">
        <v>1.8</v>
      </c>
      <c r="G7" s="29">
        <v>2013</v>
      </c>
      <c r="I7" s="30">
        <f t="shared" si="0"/>
        <v>1.8</v>
      </c>
      <c r="J7" s="30">
        <f t="shared" si="0"/>
        <v>1.8</v>
      </c>
      <c r="K7" s="30">
        <f t="shared" si="0"/>
        <v>1.8</v>
      </c>
      <c r="L7" s="30">
        <f t="shared" si="0"/>
        <v>1.8</v>
      </c>
      <c r="M7" s="30">
        <f t="shared" si="0"/>
        <v>0</v>
      </c>
    </row>
    <row r="8" spans="1:13" ht="12.75">
      <c r="A8" s="25">
        <v>4</v>
      </c>
      <c r="B8" s="42" t="s">
        <v>249</v>
      </c>
      <c r="C8" s="21" t="s">
        <v>47</v>
      </c>
      <c r="D8" s="21" t="s">
        <v>120</v>
      </c>
      <c r="E8" s="26" t="s">
        <v>65</v>
      </c>
      <c r="F8" s="28">
        <v>4.85</v>
      </c>
      <c r="G8" s="29">
        <v>2012</v>
      </c>
      <c r="I8" s="30">
        <f t="shared" si="0"/>
        <v>4.85</v>
      </c>
      <c r="J8" s="30">
        <f t="shared" si="0"/>
        <v>4.85</v>
      </c>
      <c r="K8" s="30">
        <f t="shared" si="0"/>
        <v>4.85</v>
      </c>
      <c r="L8" s="30">
        <f t="shared" si="0"/>
        <v>0</v>
      </c>
      <c r="M8" s="30">
        <f t="shared" si="0"/>
        <v>0</v>
      </c>
    </row>
    <row r="9" spans="1:13" ht="12.75">
      <c r="A9" s="25">
        <v>5</v>
      </c>
      <c r="B9" s="41" t="s">
        <v>624</v>
      </c>
      <c r="C9" s="21" t="s">
        <v>52</v>
      </c>
      <c r="D9" s="21" t="s">
        <v>86</v>
      </c>
      <c r="E9" s="26" t="s">
        <v>65</v>
      </c>
      <c r="F9" s="28">
        <v>2.45</v>
      </c>
      <c r="G9" s="29">
        <v>2012</v>
      </c>
      <c r="I9" s="30">
        <f t="shared" si="0"/>
        <v>2.45</v>
      </c>
      <c r="J9" s="30">
        <f t="shared" si="0"/>
        <v>2.45</v>
      </c>
      <c r="K9" s="30">
        <f t="shared" si="0"/>
        <v>2.45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441</v>
      </c>
      <c r="C10" s="21" t="s">
        <v>51</v>
      </c>
      <c r="D10" s="21" t="s">
        <v>92</v>
      </c>
      <c r="E10" s="26" t="s">
        <v>65</v>
      </c>
      <c r="F10" s="28">
        <v>1.8</v>
      </c>
      <c r="G10" s="29">
        <v>2012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42" t="s">
        <v>250</v>
      </c>
      <c r="C11" s="21" t="s">
        <v>51</v>
      </c>
      <c r="D11" s="21" t="s">
        <v>82</v>
      </c>
      <c r="E11" s="26" t="s">
        <v>65</v>
      </c>
      <c r="F11" s="28">
        <v>1.65</v>
      </c>
      <c r="G11" s="29">
        <v>2012</v>
      </c>
      <c r="I11" s="30">
        <f t="shared" si="0"/>
        <v>1.65</v>
      </c>
      <c r="J11" s="30">
        <f t="shared" si="0"/>
        <v>1.65</v>
      </c>
      <c r="K11" s="30">
        <f t="shared" si="0"/>
        <v>1.65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251</v>
      </c>
      <c r="C12" s="21" t="s">
        <v>51</v>
      </c>
      <c r="D12" s="21" t="s">
        <v>69</v>
      </c>
      <c r="E12" s="26" t="s">
        <v>65</v>
      </c>
      <c r="F12" s="32">
        <v>1.65</v>
      </c>
      <c r="G12" s="33">
        <v>2012</v>
      </c>
      <c r="I12" s="30">
        <f t="shared" si="0"/>
        <v>1.65</v>
      </c>
      <c r="J12" s="30">
        <f t="shared" si="0"/>
        <v>1.65</v>
      </c>
      <c r="K12" s="30">
        <f t="shared" si="0"/>
        <v>1.65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41" t="s">
        <v>252</v>
      </c>
      <c r="C13" s="21" t="s">
        <v>47</v>
      </c>
      <c r="D13" s="21" t="s">
        <v>83</v>
      </c>
      <c r="E13" s="26" t="s">
        <v>65</v>
      </c>
      <c r="F13" s="28">
        <v>1.65</v>
      </c>
      <c r="G13" s="29">
        <v>2012</v>
      </c>
      <c r="I13" s="30">
        <f t="shared" si="0"/>
        <v>1.65</v>
      </c>
      <c r="J13" s="30">
        <f t="shared" si="0"/>
        <v>1.65</v>
      </c>
      <c r="K13" s="30">
        <f t="shared" si="0"/>
        <v>1.65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322</v>
      </c>
      <c r="C14" s="21" t="s">
        <v>48</v>
      </c>
      <c r="D14" s="21" t="s">
        <v>75</v>
      </c>
      <c r="E14" s="21" t="s">
        <v>65</v>
      </c>
      <c r="F14" s="28">
        <v>4.05</v>
      </c>
      <c r="G14" s="29">
        <v>2011</v>
      </c>
      <c r="I14" s="30">
        <f t="shared" si="0"/>
        <v>4.05</v>
      </c>
      <c r="J14" s="30">
        <f t="shared" si="0"/>
        <v>4.05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253</v>
      </c>
      <c r="C15" s="21" t="s">
        <v>48</v>
      </c>
      <c r="D15" s="21" t="s">
        <v>100</v>
      </c>
      <c r="E15" s="26" t="s">
        <v>65</v>
      </c>
      <c r="F15" s="28">
        <v>2.6</v>
      </c>
      <c r="G15" s="29">
        <v>2011</v>
      </c>
      <c r="I15" s="30">
        <f aca="true" t="shared" si="1" ref="I15:M29">+IF($G15&gt;=I$3,$F15,0)</f>
        <v>2.6</v>
      </c>
      <c r="J15" s="30">
        <f t="shared" si="1"/>
        <v>2.6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1" t="s">
        <v>254</v>
      </c>
      <c r="C16" s="21" t="s">
        <v>52</v>
      </c>
      <c r="D16" s="21" t="s">
        <v>92</v>
      </c>
      <c r="E16" s="26" t="s">
        <v>65</v>
      </c>
      <c r="F16" s="32">
        <v>2.1</v>
      </c>
      <c r="G16" s="33">
        <v>2011</v>
      </c>
      <c r="I16" s="30">
        <f t="shared" si="1"/>
        <v>2.1</v>
      </c>
      <c r="J16" s="30">
        <f t="shared" si="1"/>
        <v>2.1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255</v>
      </c>
      <c r="C17" s="21" t="s">
        <v>49</v>
      </c>
      <c r="D17" s="21" t="s">
        <v>77</v>
      </c>
      <c r="E17" s="26" t="s">
        <v>65</v>
      </c>
      <c r="F17" s="28">
        <v>1.5</v>
      </c>
      <c r="G17" s="29">
        <v>2011</v>
      </c>
      <c r="I17" s="30">
        <f t="shared" si="1"/>
        <v>1.5</v>
      </c>
      <c r="J17" s="30">
        <f t="shared" si="1"/>
        <v>1.5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498</v>
      </c>
      <c r="C18" s="21" t="s">
        <v>46</v>
      </c>
      <c r="D18" s="21" t="s">
        <v>75</v>
      </c>
      <c r="E18" s="26" t="s">
        <v>497</v>
      </c>
      <c r="F18" s="28">
        <v>71</v>
      </c>
      <c r="G18" s="29">
        <v>2010</v>
      </c>
      <c r="I18" s="30">
        <f t="shared" si="1"/>
        <v>71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1" t="s">
        <v>513</v>
      </c>
      <c r="C19" s="21" t="s">
        <v>48</v>
      </c>
      <c r="D19" s="21" t="s">
        <v>89</v>
      </c>
      <c r="E19" s="26" t="s">
        <v>65</v>
      </c>
      <c r="F19" s="28">
        <v>62.75</v>
      </c>
      <c r="G19" s="29">
        <v>2010</v>
      </c>
      <c r="I19" s="30">
        <f t="shared" si="1"/>
        <v>62.75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625</v>
      </c>
      <c r="C20" s="21" t="s">
        <v>47</v>
      </c>
      <c r="D20" s="21" t="s">
        <v>113</v>
      </c>
      <c r="E20" s="26" t="s">
        <v>65</v>
      </c>
      <c r="F20" s="28">
        <v>46.2</v>
      </c>
      <c r="G20" s="31">
        <v>2010</v>
      </c>
      <c r="I20" s="30">
        <f t="shared" si="1"/>
        <v>46.2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41" t="s">
        <v>436</v>
      </c>
      <c r="C21" s="21" t="s">
        <v>51</v>
      </c>
      <c r="D21" s="21" t="s">
        <v>87</v>
      </c>
      <c r="E21" s="26" t="s">
        <v>686</v>
      </c>
      <c r="F21" s="32">
        <v>4.15</v>
      </c>
      <c r="G21" s="33">
        <v>2010</v>
      </c>
      <c r="I21" s="30">
        <f t="shared" si="1"/>
        <v>4.15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2" t="s">
        <v>256</v>
      </c>
      <c r="C22" s="21" t="s">
        <v>51</v>
      </c>
      <c r="D22" s="21" t="s">
        <v>77</v>
      </c>
      <c r="E22" s="26" t="s">
        <v>65</v>
      </c>
      <c r="F22" s="28">
        <v>2.65</v>
      </c>
      <c r="G22" s="29">
        <v>2010</v>
      </c>
      <c r="I22" s="30">
        <f t="shared" si="1"/>
        <v>2.65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6" t="s">
        <v>663</v>
      </c>
      <c r="C23" s="21" t="s">
        <v>50</v>
      </c>
      <c r="D23" s="21" t="s">
        <v>120</v>
      </c>
      <c r="E23" s="26" t="s">
        <v>65</v>
      </c>
      <c r="F23" s="28">
        <v>1.95</v>
      </c>
      <c r="G23" s="29">
        <v>2010</v>
      </c>
      <c r="I23" s="30">
        <f t="shared" si="1"/>
        <v>1.95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1" t="s">
        <v>691</v>
      </c>
      <c r="C24" s="21" t="s">
        <v>50</v>
      </c>
      <c r="D24" s="21" t="s">
        <v>120</v>
      </c>
      <c r="E24" s="26" t="s">
        <v>65</v>
      </c>
      <c r="F24" s="28">
        <v>1.95</v>
      </c>
      <c r="G24" s="29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1" t="s">
        <v>708</v>
      </c>
      <c r="C25" s="21" t="s">
        <v>47</v>
      </c>
      <c r="D25" s="21" t="s">
        <v>71</v>
      </c>
      <c r="E25" s="26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1" t="s">
        <v>709</v>
      </c>
      <c r="C26" s="21" t="s">
        <v>51</v>
      </c>
      <c r="D26" s="21" t="s">
        <v>69</v>
      </c>
      <c r="E26" s="26" t="s">
        <v>65</v>
      </c>
      <c r="F26" s="32">
        <v>1.95</v>
      </c>
      <c r="G26" s="33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1" t="s">
        <v>710</v>
      </c>
      <c r="C27" s="21" t="s">
        <v>52</v>
      </c>
      <c r="D27" s="21" t="s">
        <v>100</v>
      </c>
      <c r="E27" s="26" t="s">
        <v>65</v>
      </c>
      <c r="F27" s="28">
        <v>1.95</v>
      </c>
      <c r="G27" s="31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41" t="s">
        <v>727</v>
      </c>
      <c r="C28" s="21" t="s">
        <v>47</v>
      </c>
      <c r="D28" s="21" t="s">
        <v>85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/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228.29999999999995</v>
      </c>
      <c r="J31" s="36">
        <f>+SUM(J5:J29)</f>
        <v>29.849999999999998</v>
      </c>
      <c r="K31" s="36">
        <f>+SUM(K5:K29)</f>
        <v>19.599999999999994</v>
      </c>
      <c r="L31" s="36">
        <f>+SUM(L5:L29)</f>
        <v>5.55</v>
      </c>
      <c r="M31" s="36">
        <f>+SUM(M5:M29)</f>
        <v>1.95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2" t="s">
        <v>258</v>
      </c>
      <c r="C37" s="21" t="s">
        <v>51</v>
      </c>
      <c r="D37" s="21" t="s">
        <v>97</v>
      </c>
      <c r="E37" s="26">
        <v>2007</v>
      </c>
      <c r="F37" s="28">
        <v>2.1</v>
      </c>
      <c r="G37" s="29">
        <v>2010</v>
      </c>
      <c r="I37" s="30">
        <f aca="true" t="shared" si="2" ref="I37:I51">+CEILING(IF($I$35=E37,F37,IF($I$35&lt;=G37,F37*0.3,0)),0.05)</f>
        <v>0.65</v>
      </c>
      <c r="J37" s="30">
        <f aca="true" t="shared" si="3" ref="J37:J51">+CEILING(IF($J$35&lt;=G37,F37*0.3,0),0.05)</f>
        <v>0</v>
      </c>
      <c r="K37" s="30">
        <f aca="true" t="shared" si="4" ref="K37:K51">+CEILING(IF($K$35&lt;=G37,F37*0.3,0),0.05)</f>
        <v>0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41" t="s">
        <v>259</v>
      </c>
      <c r="C38" s="21" t="s">
        <v>48</v>
      </c>
      <c r="D38" s="21" t="s">
        <v>78</v>
      </c>
      <c r="E38" s="26">
        <v>2006</v>
      </c>
      <c r="F38" s="28">
        <v>1.35</v>
      </c>
      <c r="G38" s="29">
        <v>2010</v>
      </c>
      <c r="I38" s="30">
        <f t="shared" si="2"/>
        <v>0.45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2" t="s">
        <v>260</v>
      </c>
      <c r="C39" s="21" t="s">
        <v>49</v>
      </c>
      <c r="D39" s="21" t="s">
        <v>67</v>
      </c>
      <c r="E39" s="26">
        <v>2007</v>
      </c>
      <c r="F39" s="28">
        <v>1.35</v>
      </c>
      <c r="G39" s="29">
        <v>2010</v>
      </c>
      <c r="I39" s="30">
        <f t="shared" si="2"/>
        <v>0.45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1" t="s">
        <v>261</v>
      </c>
      <c r="C40" s="21" t="s">
        <v>52</v>
      </c>
      <c r="D40" s="21" t="s">
        <v>92</v>
      </c>
      <c r="E40" s="26">
        <v>2007</v>
      </c>
      <c r="F40" s="28">
        <v>1.35</v>
      </c>
      <c r="G40" s="29">
        <v>2010</v>
      </c>
      <c r="I40" s="30">
        <f t="shared" si="2"/>
        <v>0.45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42"/>
      <c r="D41" s="21"/>
      <c r="E41" s="26"/>
      <c r="F41" s="28"/>
      <c r="G41" s="29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2"/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1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31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2"/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1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42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42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42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G51" s="21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2</v>
      </c>
      <c r="J53" s="36">
        <f>+SUM(J37:J52)</f>
        <v>0</v>
      </c>
      <c r="K53" s="36">
        <f>+SUM(K37:K52)</f>
        <v>0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61" t="s">
        <v>104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105</v>
      </c>
      <c r="C57" s="23"/>
      <c r="D57" s="23"/>
      <c r="E57" s="23"/>
      <c r="F57" s="23" t="s">
        <v>106</v>
      </c>
      <c r="G57" s="23" t="s">
        <v>27</v>
      </c>
      <c r="I57" s="24">
        <f>+I$3</f>
        <v>2010</v>
      </c>
      <c r="J57" s="24">
        <f>+J$3</f>
        <v>2011</v>
      </c>
      <c r="K57" s="24">
        <f>+K$3</f>
        <v>2012</v>
      </c>
      <c r="L57" s="24">
        <f>+L$3</f>
        <v>2013</v>
      </c>
      <c r="M57" s="24">
        <f>+M$3</f>
        <v>2014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9" t="s">
        <v>712</v>
      </c>
      <c r="C59" s="59"/>
      <c r="D59" s="59"/>
      <c r="E59" s="59"/>
      <c r="F59" s="27">
        <v>-10</v>
      </c>
      <c r="G59" s="21">
        <v>2010</v>
      </c>
      <c r="I59" s="43">
        <f>F59</f>
        <v>-10</v>
      </c>
      <c r="J59" s="43"/>
      <c r="K59" s="43"/>
      <c r="L59" s="43"/>
      <c r="M59" s="43"/>
    </row>
    <row r="60" spans="1:13" ht="12.75">
      <c r="A60" s="25">
        <v>2</v>
      </c>
      <c r="B60" s="59"/>
      <c r="C60" s="59"/>
      <c r="D60" s="59"/>
      <c r="E60" s="59"/>
      <c r="I60" s="38"/>
      <c r="J60" s="38"/>
      <c r="K60" s="38"/>
      <c r="L60" s="38"/>
      <c r="M60" s="38"/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/>
      <c r="I62" s="35">
        <f>+SUM(I59:I61)</f>
        <v>-10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5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543</v>
      </c>
      <c r="C5" s="21" t="s">
        <v>46</v>
      </c>
      <c r="D5" s="21" t="s">
        <v>92</v>
      </c>
      <c r="E5" s="26" t="s">
        <v>65</v>
      </c>
      <c r="F5" s="32">
        <v>56</v>
      </c>
      <c r="G5" s="33">
        <v>2014</v>
      </c>
      <c r="I5" s="30">
        <f aca="true" t="shared" si="0" ref="I5:M14">+IF($G5&gt;=I$3,$F5,0)</f>
        <v>56</v>
      </c>
      <c r="J5" s="30">
        <f t="shared" si="0"/>
        <v>56</v>
      </c>
      <c r="K5" s="30">
        <f t="shared" si="0"/>
        <v>56</v>
      </c>
      <c r="L5" s="30">
        <f t="shared" si="0"/>
        <v>56</v>
      </c>
      <c r="M5" s="30">
        <f t="shared" si="0"/>
        <v>56</v>
      </c>
    </row>
    <row r="6" spans="1:13" ht="12.75">
      <c r="A6" s="25">
        <v>2</v>
      </c>
      <c r="B6" s="20" t="s">
        <v>618</v>
      </c>
      <c r="C6" s="21" t="s">
        <v>48</v>
      </c>
      <c r="D6" s="21" t="s">
        <v>92</v>
      </c>
      <c r="E6" s="26" t="s">
        <v>65</v>
      </c>
      <c r="F6" s="28">
        <v>18.8</v>
      </c>
      <c r="G6" s="29">
        <v>2014</v>
      </c>
      <c r="I6" s="30">
        <f t="shared" si="0"/>
        <v>18.8</v>
      </c>
      <c r="J6" s="30">
        <f t="shared" si="0"/>
        <v>18.8</v>
      </c>
      <c r="K6" s="30">
        <f t="shared" si="0"/>
        <v>18.8</v>
      </c>
      <c r="L6" s="30">
        <f t="shared" si="0"/>
        <v>18.8</v>
      </c>
      <c r="M6" s="30">
        <f t="shared" si="0"/>
        <v>18.8</v>
      </c>
    </row>
    <row r="7" spans="1:13" ht="12.75">
      <c r="A7" s="25">
        <v>3</v>
      </c>
      <c r="B7" s="47" t="s">
        <v>516</v>
      </c>
      <c r="C7" s="21" t="s">
        <v>47</v>
      </c>
      <c r="D7" s="21" t="s">
        <v>92</v>
      </c>
      <c r="E7" s="26" t="s">
        <v>65</v>
      </c>
      <c r="F7" s="28">
        <v>14.55</v>
      </c>
      <c r="G7" s="29">
        <v>2014</v>
      </c>
      <c r="I7" s="30">
        <f t="shared" si="0"/>
        <v>14.55</v>
      </c>
      <c r="J7" s="30">
        <f t="shared" si="0"/>
        <v>14.55</v>
      </c>
      <c r="K7" s="30">
        <f t="shared" si="0"/>
        <v>14.55</v>
      </c>
      <c r="L7" s="30">
        <f t="shared" si="0"/>
        <v>14.55</v>
      </c>
      <c r="M7" s="30">
        <f t="shared" si="0"/>
        <v>14.55</v>
      </c>
    </row>
    <row r="8" spans="1:13" ht="12.75">
      <c r="A8" s="25">
        <v>4</v>
      </c>
      <c r="B8" s="50" t="s">
        <v>524</v>
      </c>
      <c r="C8" s="21" t="s">
        <v>48</v>
      </c>
      <c r="D8" s="21" t="s">
        <v>97</v>
      </c>
      <c r="E8" s="21" t="s">
        <v>65</v>
      </c>
      <c r="F8" s="28">
        <v>8.75</v>
      </c>
      <c r="G8" s="29">
        <v>2014</v>
      </c>
      <c r="I8" s="30">
        <f t="shared" si="0"/>
        <v>8.75</v>
      </c>
      <c r="J8" s="30">
        <f t="shared" si="0"/>
        <v>8.75</v>
      </c>
      <c r="K8" s="30">
        <f t="shared" si="0"/>
        <v>8.75</v>
      </c>
      <c r="L8" s="30">
        <f t="shared" si="0"/>
        <v>8.75</v>
      </c>
      <c r="M8" s="30">
        <f t="shared" si="0"/>
        <v>8.75</v>
      </c>
    </row>
    <row r="9" spans="1:13" ht="12.75">
      <c r="A9" s="25">
        <v>5</v>
      </c>
      <c r="B9" s="20" t="s">
        <v>139</v>
      </c>
      <c r="C9" s="21" t="s">
        <v>51</v>
      </c>
      <c r="D9" s="21" t="s">
        <v>124</v>
      </c>
      <c r="E9" s="26" t="s">
        <v>65</v>
      </c>
      <c r="F9" s="32">
        <v>2.5</v>
      </c>
      <c r="G9" s="33">
        <v>2014</v>
      </c>
      <c r="I9" s="30">
        <f t="shared" si="0"/>
        <v>2.5</v>
      </c>
      <c r="J9" s="30">
        <f t="shared" si="0"/>
        <v>2.5</v>
      </c>
      <c r="K9" s="30">
        <f t="shared" si="0"/>
        <v>2.5</v>
      </c>
      <c r="L9" s="30">
        <f t="shared" si="0"/>
        <v>2.5</v>
      </c>
      <c r="M9" s="30">
        <f t="shared" si="0"/>
        <v>2.5</v>
      </c>
    </row>
    <row r="10" spans="1:13" ht="12.75">
      <c r="A10" s="25">
        <v>6</v>
      </c>
      <c r="B10" s="47" t="s">
        <v>662</v>
      </c>
      <c r="C10" s="21" t="s">
        <v>47</v>
      </c>
      <c r="D10" s="21" t="s">
        <v>132</v>
      </c>
      <c r="E10" s="21" t="s">
        <v>65</v>
      </c>
      <c r="F10" s="32">
        <v>1.95</v>
      </c>
      <c r="G10" s="33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1.95</v>
      </c>
    </row>
    <row r="11" spans="1:13" ht="12.75">
      <c r="A11" s="25">
        <v>7</v>
      </c>
      <c r="B11" s="20" t="s">
        <v>388</v>
      </c>
      <c r="C11" s="21" t="s">
        <v>48</v>
      </c>
      <c r="D11" s="21" t="s">
        <v>73</v>
      </c>
      <c r="E11" s="21" t="s">
        <v>65</v>
      </c>
      <c r="F11" s="28">
        <v>5.35</v>
      </c>
      <c r="G11" s="29">
        <v>2013</v>
      </c>
      <c r="I11" s="30">
        <f t="shared" si="0"/>
        <v>5.35</v>
      </c>
      <c r="J11" s="30">
        <f t="shared" si="0"/>
        <v>5.35</v>
      </c>
      <c r="K11" s="30">
        <f t="shared" si="0"/>
        <v>5.35</v>
      </c>
      <c r="L11" s="30">
        <f t="shared" si="0"/>
        <v>5.35</v>
      </c>
      <c r="M11" s="30">
        <f t="shared" si="0"/>
        <v>0</v>
      </c>
    </row>
    <row r="12" spans="1:13" ht="12.75">
      <c r="A12" s="25">
        <v>8</v>
      </c>
      <c r="B12" s="20" t="s">
        <v>262</v>
      </c>
      <c r="C12" s="21" t="s">
        <v>47</v>
      </c>
      <c r="D12" s="21" t="s">
        <v>100</v>
      </c>
      <c r="E12" s="21" t="s">
        <v>65</v>
      </c>
      <c r="F12" s="28">
        <v>11.3</v>
      </c>
      <c r="G12" s="29">
        <v>2012</v>
      </c>
      <c r="I12" s="30">
        <f t="shared" si="0"/>
        <v>11.3</v>
      </c>
      <c r="J12" s="30">
        <f t="shared" si="0"/>
        <v>11.3</v>
      </c>
      <c r="K12" s="30">
        <f t="shared" si="0"/>
        <v>11.3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156</v>
      </c>
      <c r="C13" s="21" t="s">
        <v>47</v>
      </c>
      <c r="D13" s="21" t="s">
        <v>103</v>
      </c>
      <c r="E13" s="26" t="s">
        <v>65</v>
      </c>
      <c r="F13" s="32">
        <v>8.9</v>
      </c>
      <c r="G13" s="33">
        <v>2012</v>
      </c>
      <c r="I13" s="30">
        <f t="shared" si="0"/>
        <v>8.9</v>
      </c>
      <c r="J13" s="30">
        <f t="shared" si="0"/>
        <v>8.9</v>
      </c>
      <c r="K13" s="30">
        <f t="shared" si="0"/>
        <v>8.9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47" t="s">
        <v>545</v>
      </c>
      <c r="C14" s="21" t="s">
        <v>51</v>
      </c>
      <c r="D14" s="21" t="s">
        <v>103</v>
      </c>
      <c r="E14" s="21" t="s">
        <v>65</v>
      </c>
      <c r="F14" s="28">
        <v>7.55</v>
      </c>
      <c r="G14" s="29">
        <v>2012</v>
      </c>
      <c r="I14" s="30">
        <f t="shared" si="0"/>
        <v>7.55</v>
      </c>
      <c r="J14" s="30">
        <f t="shared" si="0"/>
        <v>7.55</v>
      </c>
      <c r="K14" s="30">
        <f t="shared" si="0"/>
        <v>7.55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7" t="s">
        <v>335</v>
      </c>
      <c r="C15" s="21" t="s">
        <v>48</v>
      </c>
      <c r="D15" s="21" t="s">
        <v>89</v>
      </c>
      <c r="E15" s="26" t="s">
        <v>65</v>
      </c>
      <c r="F15" s="32">
        <v>2.4</v>
      </c>
      <c r="G15" s="33">
        <v>2012</v>
      </c>
      <c r="I15" s="30">
        <f aca="true" t="shared" si="1" ref="I15:M29">+IF($G15&gt;=I$3,$F15,0)</f>
        <v>2.4</v>
      </c>
      <c r="J15" s="30">
        <f t="shared" si="1"/>
        <v>2.4</v>
      </c>
      <c r="K15" s="30">
        <f t="shared" si="1"/>
        <v>2.4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637</v>
      </c>
      <c r="C16" s="21" t="s">
        <v>51</v>
      </c>
      <c r="D16" s="21" t="s">
        <v>98</v>
      </c>
      <c r="E16" s="26" t="s">
        <v>65</v>
      </c>
      <c r="F16" s="28">
        <v>1.95</v>
      </c>
      <c r="G16" s="29">
        <v>2012</v>
      </c>
      <c r="I16" s="30">
        <f t="shared" si="1"/>
        <v>1.95</v>
      </c>
      <c r="J16" s="30">
        <f t="shared" si="1"/>
        <v>1.95</v>
      </c>
      <c r="K16" s="30">
        <f t="shared" si="1"/>
        <v>1.95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267</v>
      </c>
      <c r="C17" s="21" t="s">
        <v>48</v>
      </c>
      <c r="D17" s="21" t="s">
        <v>78</v>
      </c>
      <c r="E17" s="21" t="s">
        <v>65</v>
      </c>
      <c r="F17" s="28">
        <v>41.45</v>
      </c>
      <c r="G17" s="29">
        <v>2011</v>
      </c>
      <c r="I17" s="30">
        <f t="shared" si="1"/>
        <v>41.45</v>
      </c>
      <c r="J17" s="30">
        <f t="shared" si="1"/>
        <v>41.45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428</v>
      </c>
      <c r="C18" s="21" t="s">
        <v>51</v>
      </c>
      <c r="D18" s="21" t="s">
        <v>99</v>
      </c>
      <c r="E18" s="26" t="s">
        <v>65</v>
      </c>
      <c r="F18" s="28">
        <v>5.65</v>
      </c>
      <c r="G18" s="29">
        <v>2011</v>
      </c>
      <c r="I18" s="30">
        <f t="shared" si="1"/>
        <v>5.65</v>
      </c>
      <c r="J18" s="30">
        <f t="shared" si="1"/>
        <v>5.65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7" t="s">
        <v>329</v>
      </c>
      <c r="C19" s="21" t="s">
        <v>49</v>
      </c>
      <c r="D19" s="21" t="s">
        <v>131</v>
      </c>
      <c r="E19" s="26" t="s">
        <v>65</v>
      </c>
      <c r="F19" s="28">
        <v>6.65</v>
      </c>
      <c r="G19" s="29">
        <v>2010</v>
      </c>
      <c r="I19" s="30">
        <f t="shared" si="1"/>
        <v>6.65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7" t="s">
        <v>499</v>
      </c>
      <c r="C20" s="21" t="s">
        <v>50</v>
      </c>
      <c r="D20" s="21" t="s">
        <v>73</v>
      </c>
      <c r="E20" s="21" t="s">
        <v>497</v>
      </c>
      <c r="F20" s="28">
        <v>4.7</v>
      </c>
      <c r="G20" s="29">
        <v>2010</v>
      </c>
      <c r="I20" s="30">
        <f t="shared" si="1"/>
        <v>4.7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50" t="s">
        <v>275</v>
      </c>
      <c r="C21" s="21" t="s">
        <v>52</v>
      </c>
      <c r="D21" s="21" t="s">
        <v>78</v>
      </c>
      <c r="E21" s="21" t="s">
        <v>65</v>
      </c>
      <c r="F21" s="28">
        <v>4.1</v>
      </c>
      <c r="G21" s="29">
        <v>2010</v>
      </c>
      <c r="I21" s="30">
        <f t="shared" si="1"/>
        <v>4.1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767</v>
      </c>
      <c r="C22" s="21" t="s">
        <v>46</v>
      </c>
      <c r="D22" s="21" t="s">
        <v>64</v>
      </c>
      <c r="E22" s="21" t="s">
        <v>65</v>
      </c>
      <c r="F22" s="32">
        <v>1.95</v>
      </c>
      <c r="G22" s="33">
        <v>2010</v>
      </c>
      <c r="I22" s="30">
        <f t="shared" si="1"/>
        <v>1.95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772</v>
      </c>
      <c r="C23" s="21" t="s">
        <v>52</v>
      </c>
      <c r="D23" s="21" t="s">
        <v>85</v>
      </c>
      <c r="E23" s="21" t="s">
        <v>65</v>
      </c>
      <c r="F23" s="32">
        <v>1.95</v>
      </c>
      <c r="G23" s="33">
        <v>2010</v>
      </c>
      <c r="I23" s="30">
        <f t="shared" si="1"/>
        <v>1.95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702</v>
      </c>
      <c r="C24" s="21" t="s">
        <v>52</v>
      </c>
      <c r="D24" s="21" t="s">
        <v>88</v>
      </c>
      <c r="E24" s="26" t="s">
        <v>65</v>
      </c>
      <c r="F24" s="28">
        <v>1.95</v>
      </c>
      <c r="G24" s="29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7" t="s">
        <v>802</v>
      </c>
      <c r="C25" s="21" t="s">
        <v>49</v>
      </c>
      <c r="D25" s="21" t="s">
        <v>92</v>
      </c>
      <c r="E25" s="26" t="s">
        <v>65</v>
      </c>
      <c r="F25" s="32">
        <v>1.95</v>
      </c>
      <c r="G25" s="33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7" t="s">
        <v>716</v>
      </c>
      <c r="C26" s="21" t="s">
        <v>47</v>
      </c>
      <c r="D26" s="21" t="s">
        <v>92</v>
      </c>
      <c r="E26" s="26" t="s">
        <v>65</v>
      </c>
      <c r="F26" s="32">
        <v>1.95</v>
      </c>
      <c r="G26" s="33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227</v>
      </c>
      <c r="C27" s="21" t="s">
        <v>48</v>
      </c>
      <c r="D27" s="21" t="s">
        <v>73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697</v>
      </c>
      <c r="C28" s="21" t="s">
        <v>50</v>
      </c>
      <c r="D28" s="21" t="s">
        <v>75</v>
      </c>
      <c r="E28" s="21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699</v>
      </c>
      <c r="C29" s="21" t="s">
        <v>46</v>
      </c>
      <c r="D29" s="21" t="s">
        <v>92</v>
      </c>
      <c r="E29" s="21" t="s">
        <v>65</v>
      </c>
      <c r="F29" s="28">
        <v>1.95</v>
      </c>
      <c r="G29" s="29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218.1499999999999</v>
      </c>
      <c r="J31" s="36">
        <f>+SUM(J5:J29)</f>
        <v>187.1</v>
      </c>
      <c r="K31" s="36">
        <f>+SUM(K5:K29)</f>
        <v>140</v>
      </c>
      <c r="L31" s="36">
        <f>+SUM(L5:L29)</f>
        <v>107.89999999999999</v>
      </c>
      <c r="M31" s="36">
        <f>+SUM(M5:M29)</f>
        <v>102.55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1" t="s">
        <v>263</v>
      </c>
      <c r="C37" s="21" t="s">
        <v>49</v>
      </c>
      <c r="D37" s="21" t="s">
        <v>73</v>
      </c>
      <c r="E37" s="21">
        <v>2009</v>
      </c>
      <c r="F37" s="28">
        <v>4.25</v>
      </c>
      <c r="G37" s="29">
        <v>2012</v>
      </c>
      <c r="I37" s="30">
        <f aca="true" t="shared" si="2" ref="I37:I46">+CEILING(IF($I$35=E37,F37,IF($I$35&lt;=G37,F37*0.3,0)),0.05)</f>
        <v>1.3</v>
      </c>
      <c r="J37" s="30">
        <f aca="true" t="shared" si="3" ref="J37:J46">+CEILING(IF($J$35&lt;=G37,F37*0.3,0),0.05)</f>
        <v>1.3</v>
      </c>
      <c r="K37" s="30">
        <f aca="true" t="shared" si="4" ref="K37:K46">+CEILING(IF($K$35&lt;=G37,F37*0.3,0),0.05)</f>
        <v>1.3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41" t="s">
        <v>266</v>
      </c>
      <c r="C38" s="21" t="s">
        <v>50</v>
      </c>
      <c r="D38" s="21" t="s">
        <v>113</v>
      </c>
      <c r="E38" s="21">
        <v>2010</v>
      </c>
      <c r="F38" s="32">
        <v>1.65</v>
      </c>
      <c r="G38" s="33">
        <v>2012</v>
      </c>
      <c r="I38" s="30">
        <f t="shared" si="2"/>
        <v>1.6500000000000001</v>
      </c>
      <c r="J38" s="30">
        <f t="shared" si="3"/>
        <v>0.5</v>
      </c>
      <c r="K38" s="30">
        <f t="shared" si="4"/>
        <v>0.5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265</v>
      </c>
      <c r="C39" s="21" t="s">
        <v>52</v>
      </c>
      <c r="D39" s="21" t="s">
        <v>131</v>
      </c>
      <c r="E39" s="21">
        <v>2010</v>
      </c>
      <c r="F39" s="32">
        <v>1.65</v>
      </c>
      <c r="G39" s="33">
        <v>2012</v>
      </c>
      <c r="I39" s="30">
        <f t="shared" si="2"/>
        <v>1.6500000000000001</v>
      </c>
      <c r="J39" s="30">
        <f t="shared" si="3"/>
        <v>0.5</v>
      </c>
      <c r="K39" s="30">
        <f t="shared" si="4"/>
        <v>0.5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269</v>
      </c>
      <c r="C40" s="21" t="s">
        <v>51</v>
      </c>
      <c r="D40" s="21" t="s">
        <v>87</v>
      </c>
      <c r="E40" s="21">
        <v>2009</v>
      </c>
      <c r="F40" s="28">
        <v>5.05</v>
      </c>
      <c r="G40" s="29">
        <v>2011</v>
      </c>
      <c r="I40" s="30">
        <f t="shared" si="2"/>
        <v>1.55</v>
      </c>
      <c r="J40" s="30">
        <f t="shared" si="3"/>
        <v>1.55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270</v>
      </c>
      <c r="C41" s="21" t="s">
        <v>47</v>
      </c>
      <c r="D41" s="21" t="s">
        <v>98</v>
      </c>
      <c r="E41" s="21">
        <v>2008</v>
      </c>
      <c r="F41" s="28">
        <v>2.2</v>
      </c>
      <c r="G41" s="29">
        <v>2011</v>
      </c>
      <c r="I41" s="30">
        <f t="shared" si="2"/>
        <v>0.7000000000000001</v>
      </c>
      <c r="J41" s="30">
        <f t="shared" si="3"/>
        <v>0.7000000000000001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271</v>
      </c>
      <c r="C42" s="21" t="s">
        <v>52</v>
      </c>
      <c r="D42" s="21" t="s">
        <v>88</v>
      </c>
      <c r="E42" s="21">
        <v>2008</v>
      </c>
      <c r="F42" s="28">
        <v>1.7</v>
      </c>
      <c r="G42" s="29">
        <v>2011</v>
      </c>
      <c r="I42" s="30">
        <f t="shared" si="2"/>
        <v>0.55</v>
      </c>
      <c r="J42" s="30">
        <f t="shared" si="3"/>
        <v>0.55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153</v>
      </c>
      <c r="C43" s="21" t="s">
        <v>46</v>
      </c>
      <c r="D43" s="21" t="s">
        <v>101</v>
      </c>
      <c r="E43" s="21">
        <v>2009</v>
      </c>
      <c r="F43" s="28">
        <v>7.65</v>
      </c>
      <c r="G43" s="29">
        <v>2010</v>
      </c>
      <c r="I43" s="30">
        <f t="shared" si="2"/>
        <v>2.3000000000000003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436</v>
      </c>
      <c r="C44" s="21" t="s">
        <v>51</v>
      </c>
      <c r="D44" s="21" t="s">
        <v>87</v>
      </c>
      <c r="E44" s="26">
        <v>2009</v>
      </c>
      <c r="F44" s="28">
        <v>4.95</v>
      </c>
      <c r="G44" s="29">
        <v>2010</v>
      </c>
      <c r="I44" s="30">
        <f t="shared" si="2"/>
        <v>1.5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7" t="s">
        <v>143</v>
      </c>
      <c r="C45" s="21" t="s">
        <v>47</v>
      </c>
      <c r="D45" s="21" t="s">
        <v>82</v>
      </c>
      <c r="E45" s="21">
        <v>2010</v>
      </c>
      <c r="F45" s="32">
        <v>4.7</v>
      </c>
      <c r="G45" s="33">
        <v>2010</v>
      </c>
      <c r="I45" s="30">
        <f t="shared" si="2"/>
        <v>4.7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7" t="s">
        <v>276</v>
      </c>
      <c r="C46" s="21" t="s">
        <v>51</v>
      </c>
      <c r="D46" s="21" t="s">
        <v>141</v>
      </c>
      <c r="E46" s="26">
        <v>2010</v>
      </c>
      <c r="F46" s="32">
        <v>2.45</v>
      </c>
      <c r="G46" s="33">
        <v>2010</v>
      </c>
      <c r="I46" s="30">
        <f t="shared" si="2"/>
        <v>2.45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178</v>
      </c>
      <c r="C47" s="21" t="s">
        <v>46</v>
      </c>
      <c r="D47" s="21" t="s">
        <v>90</v>
      </c>
      <c r="E47" s="21">
        <v>2010</v>
      </c>
      <c r="F47" s="32">
        <v>1.95</v>
      </c>
      <c r="G47" s="33">
        <v>2010</v>
      </c>
      <c r="I47" s="30">
        <f>+CEILING(IF($I$35=E47,F47,IF($I$35&lt;=G47,F47*0.3,0)),0.05)</f>
        <v>1.9500000000000002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20" t="s">
        <v>689</v>
      </c>
      <c r="C48" s="21" t="s">
        <v>49</v>
      </c>
      <c r="D48" s="21" t="s">
        <v>120</v>
      </c>
      <c r="E48" s="26">
        <v>2010</v>
      </c>
      <c r="F48" s="28">
        <v>1.95</v>
      </c>
      <c r="G48" s="29">
        <v>2010</v>
      </c>
      <c r="I48" s="30">
        <f>+CEILING(IF($I$35=E48,F48,IF($I$35&lt;=G48,F48*0.3,0)),0.05)</f>
        <v>1.9500000000000002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B49" s="47" t="s">
        <v>243</v>
      </c>
      <c r="C49" s="21" t="s">
        <v>48</v>
      </c>
      <c r="D49" s="21" t="s">
        <v>120</v>
      </c>
      <c r="E49" s="26">
        <v>2010</v>
      </c>
      <c r="F49" s="32">
        <v>1.6</v>
      </c>
      <c r="G49" s="33">
        <v>2010</v>
      </c>
      <c r="I49" s="30">
        <f>+CEILING(IF($I$35=E49,F49,IF($I$35&lt;=G49,F49*0.3,0)),0.05)</f>
        <v>1.6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9:13" ht="7.5" customHeight="1">
      <c r="I50" s="34"/>
      <c r="J50" s="34"/>
      <c r="K50" s="34"/>
      <c r="L50" s="34"/>
      <c r="M50" s="34"/>
    </row>
    <row r="51" spans="9:13" ht="12.75">
      <c r="I51" s="36">
        <f>+SUM(I37:I50)</f>
        <v>23.85</v>
      </c>
      <c r="J51" s="36">
        <f>+SUM(J37:J50)</f>
        <v>5.1</v>
      </c>
      <c r="K51" s="36">
        <f>+SUM(K37:K50)</f>
        <v>2.3</v>
      </c>
      <c r="L51" s="36">
        <f>+SUM(L37:L50)</f>
        <v>0</v>
      </c>
      <c r="M51" s="36">
        <f>+SUM(M37:M50)</f>
        <v>0</v>
      </c>
    </row>
    <row r="52" spans="9:13" ht="12.75">
      <c r="I52" s="37"/>
      <c r="J52" s="37"/>
      <c r="K52" s="37"/>
      <c r="L52" s="37"/>
      <c r="M52" s="37"/>
    </row>
    <row r="53" spans="1:13" ht="15.75">
      <c r="A53" s="61" t="s">
        <v>104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105</v>
      </c>
      <c r="C55" s="23"/>
      <c r="D55" s="23"/>
      <c r="E55" s="23"/>
      <c r="F55" s="23" t="s">
        <v>106</v>
      </c>
      <c r="G55" s="23" t="s">
        <v>27</v>
      </c>
      <c r="I55" s="24">
        <f>+I$3</f>
        <v>2010</v>
      </c>
      <c r="J55" s="24">
        <f>+J$3</f>
        <v>2011</v>
      </c>
      <c r="K55" s="24">
        <f>+K$3</f>
        <v>2012</v>
      </c>
      <c r="L55" s="24">
        <f>+L$3</f>
        <v>2013</v>
      </c>
      <c r="M55" s="24">
        <f>+M$3</f>
        <v>2014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59"/>
      <c r="C57" s="59"/>
      <c r="D57" s="59"/>
      <c r="E57" s="59"/>
      <c r="F57" s="27"/>
      <c r="G57" s="21"/>
      <c r="I57" s="39">
        <f>+F57</f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2</v>
      </c>
      <c r="B58" s="59"/>
      <c r="C58" s="59"/>
      <c r="D58" s="59"/>
      <c r="E58" s="59"/>
      <c r="F58" s="27"/>
      <c r="G58" s="21"/>
      <c r="I58" s="39">
        <f>+F58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3</v>
      </c>
      <c r="C59" s="44"/>
      <c r="F59" s="27"/>
      <c r="G59" s="21"/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+SUM(I57:I60)</f>
        <v>0</v>
      </c>
      <c r="J61" s="35">
        <f>+SUM(J57:J60)</f>
        <v>0</v>
      </c>
      <c r="K61" s="35">
        <f>+SUM(K57:K60)</f>
        <v>0</v>
      </c>
      <c r="L61" s="35">
        <f>+SUM(L57:L60)</f>
        <v>0</v>
      </c>
      <c r="M61" s="35">
        <f>+SUM(M57:M60)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673</v>
      </c>
      <c r="C5" s="21" t="s">
        <v>47</v>
      </c>
      <c r="D5" s="21" t="s">
        <v>83</v>
      </c>
      <c r="E5" s="26" t="s">
        <v>65</v>
      </c>
      <c r="F5" s="28">
        <v>3.15</v>
      </c>
      <c r="G5" s="29">
        <v>2014</v>
      </c>
      <c r="I5" s="30">
        <f aca="true" t="shared" si="0" ref="I5:M14">+IF($G5&gt;=I$3,$F5,0)</f>
        <v>3.15</v>
      </c>
      <c r="J5" s="30">
        <f t="shared" si="0"/>
        <v>3.15</v>
      </c>
      <c r="K5" s="30">
        <f t="shared" si="0"/>
        <v>3.15</v>
      </c>
      <c r="L5" s="30">
        <f t="shared" si="0"/>
        <v>3.15</v>
      </c>
      <c r="M5" s="30">
        <f t="shared" si="0"/>
        <v>3.15</v>
      </c>
    </row>
    <row r="6" spans="1:13" ht="12.75">
      <c r="A6" s="25">
        <v>2</v>
      </c>
      <c r="B6" s="20" t="s">
        <v>535</v>
      </c>
      <c r="C6" s="21" t="s">
        <v>47</v>
      </c>
      <c r="D6" s="21" t="s">
        <v>113</v>
      </c>
      <c r="E6" s="26" t="s">
        <v>65</v>
      </c>
      <c r="F6" s="32">
        <v>1.95</v>
      </c>
      <c r="G6" s="33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20" t="s">
        <v>559</v>
      </c>
      <c r="C7" s="21" t="s">
        <v>47</v>
      </c>
      <c r="D7" s="21" t="s">
        <v>71</v>
      </c>
      <c r="E7" s="26" t="s">
        <v>65</v>
      </c>
      <c r="F7" s="32">
        <v>1.95</v>
      </c>
      <c r="G7" s="33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1.95</v>
      </c>
    </row>
    <row r="8" spans="1:13" ht="12.75">
      <c r="A8" s="25">
        <v>4</v>
      </c>
      <c r="B8" s="20" t="s">
        <v>440</v>
      </c>
      <c r="C8" s="21" t="s">
        <v>49</v>
      </c>
      <c r="D8" s="21" t="s">
        <v>85</v>
      </c>
      <c r="E8" s="26" t="s">
        <v>65</v>
      </c>
      <c r="F8" s="28">
        <v>11.6</v>
      </c>
      <c r="G8" s="31">
        <v>2013</v>
      </c>
      <c r="I8" s="30">
        <f t="shared" si="0"/>
        <v>11.6</v>
      </c>
      <c r="J8" s="30">
        <f t="shared" si="0"/>
        <v>11.6</v>
      </c>
      <c r="K8" s="30">
        <f t="shared" si="0"/>
        <v>11.6</v>
      </c>
      <c r="L8" s="30">
        <f t="shared" si="0"/>
        <v>11.6</v>
      </c>
      <c r="M8" s="30">
        <f t="shared" si="0"/>
        <v>0</v>
      </c>
    </row>
    <row r="9" spans="1:13" ht="12.75">
      <c r="A9" s="25">
        <v>5</v>
      </c>
      <c r="B9" s="20" t="s">
        <v>383</v>
      </c>
      <c r="C9" s="21" t="s">
        <v>47</v>
      </c>
      <c r="D9" s="21" t="s">
        <v>80</v>
      </c>
      <c r="E9" s="26" t="s">
        <v>65</v>
      </c>
      <c r="F9" s="28">
        <v>7.1</v>
      </c>
      <c r="G9" s="29">
        <v>2013</v>
      </c>
      <c r="I9" s="30">
        <f t="shared" si="0"/>
        <v>7.1</v>
      </c>
      <c r="J9" s="30">
        <f t="shared" si="0"/>
        <v>7.1</v>
      </c>
      <c r="K9" s="30">
        <f t="shared" si="0"/>
        <v>7.1</v>
      </c>
      <c r="L9" s="30">
        <f t="shared" si="0"/>
        <v>7.1</v>
      </c>
      <c r="M9" s="30">
        <f t="shared" si="0"/>
        <v>0</v>
      </c>
    </row>
    <row r="10" spans="1:13" ht="12.75">
      <c r="A10" s="25">
        <v>6</v>
      </c>
      <c r="B10" s="20" t="s">
        <v>220</v>
      </c>
      <c r="C10" s="21" t="s">
        <v>48</v>
      </c>
      <c r="D10" s="21" t="s">
        <v>100</v>
      </c>
      <c r="E10" s="26" t="s">
        <v>65</v>
      </c>
      <c r="F10" s="32">
        <v>34.25</v>
      </c>
      <c r="G10" s="33">
        <v>2012</v>
      </c>
      <c r="I10" s="30">
        <f t="shared" si="0"/>
        <v>34.25</v>
      </c>
      <c r="J10" s="30">
        <f t="shared" si="0"/>
        <v>34.25</v>
      </c>
      <c r="K10" s="30">
        <f t="shared" si="0"/>
        <v>34.25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594</v>
      </c>
      <c r="C11" s="21" t="s">
        <v>48</v>
      </c>
      <c r="D11" s="21" t="s">
        <v>103</v>
      </c>
      <c r="E11" s="26" t="s">
        <v>65</v>
      </c>
      <c r="F11" s="32">
        <v>28.5</v>
      </c>
      <c r="G11" s="33">
        <v>2012</v>
      </c>
      <c r="I11" s="30">
        <f t="shared" si="0"/>
        <v>28.5</v>
      </c>
      <c r="J11" s="30">
        <f t="shared" si="0"/>
        <v>28.5</v>
      </c>
      <c r="K11" s="30">
        <f t="shared" si="0"/>
        <v>28.5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570</v>
      </c>
      <c r="C12" s="21" t="s">
        <v>51</v>
      </c>
      <c r="D12" s="21" t="s">
        <v>123</v>
      </c>
      <c r="E12" s="26" t="s">
        <v>65</v>
      </c>
      <c r="F12" s="32">
        <v>7.95</v>
      </c>
      <c r="G12" s="33">
        <v>2012</v>
      </c>
      <c r="I12" s="30">
        <f t="shared" si="0"/>
        <v>7.95</v>
      </c>
      <c r="J12" s="30">
        <f t="shared" si="0"/>
        <v>7.95</v>
      </c>
      <c r="K12" s="30">
        <f t="shared" si="0"/>
        <v>7.95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278</v>
      </c>
      <c r="C13" s="21" t="s">
        <v>46</v>
      </c>
      <c r="D13" s="21" t="s">
        <v>120</v>
      </c>
      <c r="E13" s="21" t="s">
        <v>65</v>
      </c>
      <c r="F13" s="32">
        <v>4.45</v>
      </c>
      <c r="G13" s="33">
        <v>2012</v>
      </c>
      <c r="I13" s="30">
        <f t="shared" si="0"/>
        <v>4.45</v>
      </c>
      <c r="J13" s="30">
        <f t="shared" si="0"/>
        <v>4.45</v>
      </c>
      <c r="K13" s="30">
        <f t="shared" si="0"/>
        <v>4.45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279</v>
      </c>
      <c r="C14" s="21" t="s">
        <v>47</v>
      </c>
      <c r="D14" s="21" t="s">
        <v>92</v>
      </c>
      <c r="E14" s="21" t="s">
        <v>65</v>
      </c>
      <c r="F14" s="28">
        <v>1.65</v>
      </c>
      <c r="G14" s="31">
        <v>2012</v>
      </c>
      <c r="I14" s="30">
        <f t="shared" si="0"/>
        <v>1.65</v>
      </c>
      <c r="J14" s="30">
        <f t="shared" si="0"/>
        <v>1.65</v>
      </c>
      <c r="K14" s="30">
        <f t="shared" si="0"/>
        <v>1.65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439</v>
      </c>
      <c r="C15" s="21" t="s">
        <v>48</v>
      </c>
      <c r="D15" s="21" t="s">
        <v>82</v>
      </c>
      <c r="E15" s="26" t="s">
        <v>65</v>
      </c>
      <c r="F15" s="28">
        <v>9.7</v>
      </c>
      <c r="G15" s="29">
        <v>2011</v>
      </c>
      <c r="I15" s="30">
        <f aca="true" t="shared" si="1" ref="I15:M29">+IF($G15&gt;=I$3,$F15,0)</f>
        <v>9.7</v>
      </c>
      <c r="J15" s="30">
        <f t="shared" si="1"/>
        <v>9.7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600</v>
      </c>
      <c r="C16" s="21" t="s">
        <v>51</v>
      </c>
      <c r="D16" s="21" t="s">
        <v>85</v>
      </c>
      <c r="E16" s="26" t="s">
        <v>65</v>
      </c>
      <c r="F16" s="28">
        <v>4</v>
      </c>
      <c r="G16" s="29">
        <v>2011</v>
      </c>
      <c r="I16" s="30">
        <f t="shared" si="1"/>
        <v>4</v>
      </c>
      <c r="J16" s="30">
        <f t="shared" si="1"/>
        <v>4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770</v>
      </c>
      <c r="C17" s="21" t="s">
        <v>49</v>
      </c>
      <c r="D17" s="21" t="s">
        <v>75</v>
      </c>
      <c r="E17" s="26" t="s">
        <v>65</v>
      </c>
      <c r="F17" s="28">
        <v>1.95</v>
      </c>
      <c r="G17" s="29">
        <v>2010</v>
      </c>
      <c r="I17" s="30">
        <f t="shared" si="1"/>
        <v>1.95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502</v>
      </c>
      <c r="C18" s="21" t="s">
        <v>48</v>
      </c>
      <c r="D18" s="21" t="s">
        <v>75</v>
      </c>
      <c r="E18" s="26" t="s">
        <v>497</v>
      </c>
      <c r="F18" s="28">
        <v>52.35</v>
      </c>
      <c r="G18" s="29">
        <v>2010</v>
      </c>
      <c r="I18" s="30">
        <f t="shared" si="1"/>
        <v>52.35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282</v>
      </c>
      <c r="C19" s="21" t="s">
        <v>51</v>
      </c>
      <c r="D19" s="21" t="s">
        <v>132</v>
      </c>
      <c r="E19" s="26" t="s">
        <v>65</v>
      </c>
      <c r="F19" s="28">
        <v>7.2</v>
      </c>
      <c r="G19" s="29">
        <v>2010</v>
      </c>
      <c r="I19" s="30">
        <f t="shared" si="1"/>
        <v>7.2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538</v>
      </c>
      <c r="C20" s="21" t="s">
        <v>51</v>
      </c>
      <c r="D20" s="21" t="s">
        <v>120</v>
      </c>
      <c r="E20" s="26" t="s">
        <v>65</v>
      </c>
      <c r="F20" s="32">
        <v>7.05</v>
      </c>
      <c r="G20" s="33">
        <v>2010</v>
      </c>
      <c r="I20" s="30">
        <f t="shared" si="1"/>
        <v>7.05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430</v>
      </c>
      <c r="C21" s="21" t="s">
        <v>50</v>
      </c>
      <c r="D21" s="21" t="s">
        <v>92</v>
      </c>
      <c r="E21" s="26" t="s">
        <v>65</v>
      </c>
      <c r="F21" s="28">
        <v>5.25</v>
      </c>
      <c r="G21" s="29">
        <v>2010</v>
      </c>
      <c r="I21" s="30">
        <f t="shared" si="1"/>
        <v>5.25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616</v>
      </c>
      <c r="C22" s="21" t="s">
        <v>51</v>
      </c>
      <c r="D22" s="21" t="s">
        <v>124</v>
      </c>
      <c r="E22" s="26" t="s">
        <v>65</v>
      </c>
      <c r="F22" s="28">
        <v>4.7</v>
      </c>
      <c r="G22" s="29">
        <v>2010</v>
      </c>
      <c r="I22" s="30">
        <f t="shared" si="1"/>
        <v>4.7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283</v>
      </c>
      <c r="C23" s="21" t="s">
        <v>47</v>
      </c>
      <c r="D23" s="21" t="s">
        <v>146</v>
      </c>
      <c r="E23" s="26" t="s">
        <v>65</v>
      </c>
      <c r="F23" s="28">
        <v>3.7</v>
      </c>
      <c r="G23" s="29">
        <v>2010</v>
      </c>
      <c r="I23" s="30">
        <f t="shared" si="1"/>
        <v>3.7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675</v>
      </c>
      <c r="C24" s="21" t="s">
        <v>52</v>
      </c>
      <c r="D24" s="21" t="s">
        <v>124</v>
      </c>
      <c r="E24" s="21" t="s">
        <v>65</v>
      </c>
      <c r="F24" s="28">
        <v>3.6</v>
      </c>
      <c r="G24" s="29">
        <v>2010</v>
      </c>
      <c r="I24" s="30">
        <f t="shared" si="1"/>
        <v>3.6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674</v>
      </c>
      <c r="C25" s="21" t="s">
        <v>52</v>
      </c>
      <c r="D25" s="21" t="s">
        <v>77</v>
      </c>
      <c r="E25" s="21" t="s">
        <v>65</v>
      </c>
      <c r="F25" s="32">
        <v>3</v>
      </c>
      <c r="G25" s="33">
        <v>2010</v>
      </c>
      <c r="I25" s="30">
        <f t="shared" si="1"/>
        <v>3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438</v>
      </c>
      <c r="C26" s="21" t="s">
        <v>52</v>
      </c>
      <c r="D26" s="21" t="s">
        <v>73</v>
      </c>
      <c r="E26" s="26" t="s">
        <v>65</v>
      </c>
      <c r="F26" s="32">
        <v>2.05</v>
      </c>
      <c r="G26" s="33">
        <v>2010</v>
      </c>
      <c r="I26" s="30">
        <f t="shared" si="1"/>
        <v>2.05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769</v>
      </c>
      <c r="C27" s="21" t="s">
        <v>48</v>
      </c>
      <c r="D27" s="21" t="s">
        <v>100</v>
      </c>
      <c r="E27" s="21" t="s">
        <v>65</v>
      </c>
      <c r="F27" s="32">
        <v>1.95</v>
      </c>
      <c r="G27" s="33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667</v>
      </c>
      <c r="C28" s="21" t="s">
        <v>46</v>
      </c>
      <c r="D28" s="21" t="s">
        <v>120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284</v>
      </c>
      <c r="C29" s="21" t="s">
        <v>47</v>
      </c>
      <c r="D29" s="21" t="s">
        <v>88</v>
      </c>
      <c r="E29" s="21" t="s">
        <v>65</v>
      </c>
      <c r="F29" s="32">
        <v>1.65</v>
      </c>
      <c r="G29" s="33">
        <v>2010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212.64999999999998</v>
      </c>
      <c r="J31" s="36">
        <f>+SUM(J5:J29)</f>
        <v>116.25000000000001</v>
      </c>
      <c r="K31" s="36">
        <f>+SUM(K5:K29)</f>
        <v>102.55000000000001</v>
      </c>
      <c r="L31" s="36">
        <f>+SUM(L5:L29)</f>
        <v>25.75</v>
      </c>
      <c r="M31" s="36">
        <f>+SUM(M5:M29)</f>
        <v>7.05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595</v>
      </c>
      <c r="C37" s="21" t="s">
        <v>47</v>
      </c>
      <c r="D37" s="21" t="s">
        <v>132</v>
      </c>
      <c r="E37" s="26">
        <v>2010</v>
      </c>
      <c r="F37" s="28">
        <v>1.95</v>
      </c>
      <c r="G37" s="29">
        <v>2011</v>
      </c>
      <c r="I37" s="30">
        <f aca="true" t="shared" si="2" ref="I37:I46">+CEILING(IF($I$35=E37,F37,IF($I$35&lt;=G37,F37*0.3,0)),0.05)</f>
        <v>1.9500000000000002</v>
      </c>
      <c r="J37" s="30">
        <f aca="true" t="shared" si="3" ref="J37:J46">+CEILING(IF($J$35&lt;=G37,F37*0.3,0),0.05)</f>
        <v>0.6000000000000001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644</v>
      </c>
      <c r="C38" s="21" t="s">
        <v>52</v>
      </c>
      <c r="D38" s="21" t="s">
        <v>159</v>
      </c>
      <c r="E38" s="21">
        <v>2010</v>
      </c>
      <c r="F38" s="32">
        <v>1.95</v>
      </c>
      <c r="G38" s="33">
        <v>2010</v>
      </c>
      <c r="I38" s="30">
        <f t="shared" si="2"/>
        <v>1.9500000000000002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285</v>
      </c>
      <c r="C39" s="21" t="s">
        <v>46</v>
      </c>
      <c r="D39" s="21" t="s">
        <v>80</v>
      </c>
      <c r="E39" s="26">
        <v>2009</v>
      </c>
      <c r="F39" s="28">
        <v>1.35</v>
      </c>
      <c r="G39" s="29">
        <v>2010</v>
      </c>
      <c r="I39" s="30">
        <f t="shared" si="2"/>
        <v>0.45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D40" s="21"/>
      <c r="E40" s="26"/>
      <c r="F40" s="28"/>
      <c r="G40" s="29"/>
      <c r="I40" s="30">
        <f t="shared" si="2"/>
        <v>0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D41" s="21"/>
      <c r="E41" s="26"/>
      <c r="F41" s="28"/>
      <c r="G41" s="29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4.3500000000000005</v>
      </c>
      <c r="J48" s="36">
        <f>+SUM(J37:J47)</f>
        <v>0.6000000000000001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1" t="s">
        <v>104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105</v>
      </c>
      <c r="C52" s="23"/>
      <c r="D52" s="23"/>
      <c r="E52" s="23"/>
      <c r="F52" s="23" t="s">
        <v>106</v>
      </c>
      <c r="G52" s="23" t="s">
        <v>27</v>
      </c>
      <c r="I52" s="24">
        <f>+I$3</f>
        <v>2010</v>
      </c>
      <c r="J52" s="24">
        <f>+J$3</f>
        <v>2011</v>
      </c>
      <c r="K52" s="24">
        <f>+K$3</f>
        <v>2012</v>
      </c>
      <c r="L52" s="24">
        <f>+L$3</f>
        <v>2013</v>
      </c>
      <c r="M52" s="24">
        <f>+M$3</f>
        <v>2014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9"/>
      <c r="C54" s="59"/>
      <c r="D54" s="59"/>
      <c r="E54" s="59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9"/>
      <c r="C55" s="59"/>
      <c r="D55" s="59"/>
      <c r="E55" s="59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81</v>
      </c>
      <c r="C5" s="21" t="s">
        <v>51</v>
      </c>
      <c r="D5" s="21" t="s">
        <v>100</v>
      </c>
      <c r="E5" s="26" t="s">
        <v>65</v>
      </c>
      <c r="F5" s="28">
        <v>1.95</v>
      </c>
      <c r="G5" s="29">
        <v>2014</v>
      </c>
      <c r="I5" s="30">
        <f aca="true" t="shared" si="0" ref="I5:M14">+IF($G5&gt;=I$3,$F5,0)</f>
        <v>1.95</v>
      </c>
      <c r="J5" s="30">
        <f t="shared" si="0"/>
        <v>1.95</v>
      </c>
      <c r="K5" s="30">
        <f t="shared" si="0"/>
        <v>1.95</v>
      </c>
      <c r="L5" s="30">
        <f t="shared" si="0"/>
        <v>1.95</v>
      </c>
      <c r="M5" s="30">
        <f t="shared" si="0"/>
        <v>1.95</v>
      </c>
    </row>
    <row r="6" spans="1:13" ht="12.75">
      <c r="A6" s="25">
        <v>2</v>
      </c>
      <c r="B6" s="20" t="s">
        <v>536</v>
      </c>
      <c r="C6" s="21" t="s">
        <v>47</v>
      </c>
      <c r="D6" s="21" t="s">
        <v>80</v>
      </c>
      <c r="E6" s="26" t="s">
        <v>65</v>
      </c>
      <c r="F6" s="32">
        <v>1.95</v>
      </c>
      <c r="G6" s="33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20" t="s">
        <v>549</v>
      </c>
      <c r="C7" s="21" t="s">
        <v>51</v>
      </c>
      <c r="D7" s="21" t="s">
        <v>88</v>
      </c>
      <c r="E7" s="26" t="s">
        <v>65</v>
      </c>
      <c r="F7" s="28">
        <v>1.95</v>
      </c>
      <c r="G7" s="29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1.95</v>
      </c>
    </row>
    <row r="8" spans="1:13" ht="12.75">
      <c r="A8" s="25">
        <v>4</v>
      </c>
      <c r="B8" s="20" t="s">
        <v>514</v>
      </c>
      <c r="C8" s="21" t="s">
        <v>47</v>
      </c>
      <c r="D8" s="21" t="s">
        <v>67</v>
      </c>
      <c r="E8" s="21" t="s">
        <v>65</v>
      </c>
      <c r="F8" s="32">
        <v>55.55</v>
      </c>
      <c r="G8" s="33">
        <v>2013</v>
      </c>
      <c r="I8" s="30">
        <f t="shared" si="0"/>
        <v>55.55</v>
      </c>
      <c r="J8" s="30">
        <f t="shared" si="0"/>
        <v>55.55</v>
      </c>
      <c r="K8" s="30">
        <f t="shared" si="0"/>
        <v>55.55</v>
      </c>
      <c r="L8" s="30">
        <f t="shared" si="0"/>
        <v>55.55</v>
      </c>
      <c r="M8" s="30">
        <f t="shared" si="0"/>
        <v>0</v>
      </c>
    </row>
    <row r="9" spans="1:13" ht="12.75">
      <c r="A9" s="25">
        <v>5</v>
      </c>
      <c r="B9" s="20" t="s">
        <v>537</v>
      </c>
      <c r="C9" s="21" t="s">
        <v>48</v>
      </c>
      <c r="D9" s="21" t="s">
        <v>98</v>
      </c>
      <c r="E9" s="21" t="s">
        <v>65</v>
      </c>
      <c r="F9" s="32">
        <v>31.8</v>
      </c>
      <c r="G9" s="33">
        <v>2013</v>
      </c>
      <c r="I9" s="30">
        <f t="shared" si="0"/>
        <v>31.8</v>
      </c>
      <c r="J9" s="30">
        <f t="shared" si="0"/>
        <v>31.8</v>
      </c>
      <c r="K9" s="30">
        <f t="shared" si="0"/>
        <v>31.8</v>
      </c>
      <c r="L9" s="30">
        <f t="shared" si="0"/>
        <v>31.8</v>
      </c>
      <c r="M9" s="30">
        <f t="shared" si="0"/>
        <v>0</v>
      </c>
    </row>
    <row r="10" spans="1:13" ht="12.75">
      <c r="A10" s="25">
        <v>6</v>
      </c>
      <c r="B10" s="20" t="s">
        <v>399</v>
      </c>
      <c r="C10" s="21" t="s">
        <v>394</v>
      </c>
      <c r="D10" s="21" t="s">
        <v>132</v>
      </c>
      <c r="E10" s="26" t="s">
        <v>65</v>
      </c>
      <c r="F10" s="32">
        <v>1.8</v>
      </c>
      <c r="G10" s="33">
        <v>2013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1.8</v>
      </c>
      <c r="M10" s="30">
        <f t="shared" si="0"/>
        <v>0</v>
      </c>
    </row>
    <row r="11" spans="1:13" ht="12.75">
      <c r="A11" s="25">
        <v>7</v>
      </c>
      <c r="B11" s="20" t="s">
        <v>596</v>
      </c>
      <c r="C11" s="21" t="s">
        <v>48</v>
      </c>
      <c r="D11" s="21" t="s">
        <v>71</v>
      </c>
      <c r="E11" s="26" t="s">
        <v>65</v>
      </c>
      <c r="F11" s="28">
        <v>25.45</v>
      </c>
      <c r="G11" s="29">
        <v>2012</v>
      </c>
      <c r="I11" s="30">
        <f t="shared" si="0"/>
        <v>25.45</v>
      </c>
      <c r="J11" s="30">
        <f t="shared" si="0"/>
        <v>25.45</v>
      </c>
      <c r="K11" s="30">
        <f t="shared" si="0"/>
        <v>25.45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603</v>
      </c>
      <c r="C12" s="21" t="s">
        <v>47</v>
      </c>
      <c r="D12" s="21" t="s">
        <v>120</v>
      </c>
      <c r="E12" s="26" t="s">
        <v>65</v>
      </c>
      <c r="F12" s="28">
        <v>2.95</v>
      </c>
      <c r="G12" s="29">
        <v>2012</v>
      </c>
      <c r="I12" s="30">
        <f t="shared" si="0"/>
        <v>2.95</v>
      </c>
      <c r="J12" s="30">
        <f t="shared" si="0"/>
        <v>2.95</v>
      </c>
      <c r="K12" s="30">
        <f t="shared" si="0"/>
        <v>2.95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171</v>
      </c>
      <c r="C13" s="21" t="s">
        <v>49</v>
      </c>
      <c r="D13" s="21" t="s">
        <v>80</v>
      </c>
      <c r="E13" s="26" t="s">
        <v>65</v>
      </c>
      <c r="F13" s="28">
        <v>1.65</v>
      </c>
      <c r="G13" s="29">
        <v>2012</v>
      </c>
      <c r="I13" s="30">
        <f t="shared" si="0"/>
        <v>1.65</v>
      </c>
      <c r="J13" s="30">
        <f t="shared" si="0"/>
        <v>1.65</v>
      </c>
      <c r="K13" s="30">
        <f t="shared" si="0"/>
        <v>1.65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172</v>
      </c>
      <c r="C14" s="21" t="s">
        <v>47</v>
      </c>
      <c r="D14" s="21" t="s">
        <v>123</v>
      </c>
      <c r="E14" s="26" t="s">
        <v>65</v>
      </c>
      <c r="F14" s="28">
        <v>1.65</v>
      </c>
      <c r="G14" s="29">
        <v>2012</v>
      </c>
      <c r="I14" s="30">
        <f t="shared" si="0"/>
        <v>1.65</v>
      </c>
      <c r="J14" s="30">
        <f t="shared" si="0"/>
        <v>1.65</v>
      </c>
      <c r="K14" s="30">
        <f t="shared" si="0"/>
        <v>1.65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569</v>
      </c>
      <c r="C15" s="21" t="s">
        <v>47</v>
      </c>
      <c r="D15" s="21" t="s">
        <v>86</v>
      </c>
      <c r="E15" s="26" t="s">
        <v>65</v>
      </c>
      <c r="F15" s="28">
        <v>25.65</v>
      </c>
      <c r="G15" s="29">
        <v>2011</v>
      </c>
      <c r="I15" s="30">
        <f aca="true" t="shared" si="1" ref="I15:M29">+IF($G15&gt;=I$3,$F15,0)</f>
        <v>25.65</v>
      </c>
      <c r="J15" s="30">
        <f t="shared" si="1"/>
        <v>25.65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7" t="s">
        <v>138</v>
      </c>
      <c r="C16" s="21" t="s">
        <v>48</v>
      </c>
      <c r="D16" s="21" t="s">
        <v>103</v>
      </c>
      <c r="E16" s="26" t="s">
        <v>65</v>
      </c>
      <c r="F16" s="28">
        <v>10.05</v>
      </c>
      <c r="G16" s="29">
        <v>2011</v>
      </c>
      <c r="I16" s="30">
        <f t="shared" si="1"/>
        <v>10.05</v>
      </c>
      <c r="J16" s="30">
        <f t="shared" si="1"/>
        <v>10.05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173</v>
      </c>
      <c r="C17" s="21" t="s">
        <v>48</v>
      </c>
      <c r="D17" s="21" t="s">
        <v>97</v>
      </c>
      <c r="E17" s="26" t="s">
        <v>65</v>
      </c>
      <c r="F17" s="32">
        <v>7.3</v>
      </c>
      <c r="G17" s="33">
        <v>2011</v>
      </c>
      <c r="I17" s="30">
        <f t="shared" si="1"/>
        <v>7.3</v>
      </c>
      <c r="J17" s="30">
        <f t="shared" si="1"/>
        <v>7.3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174</v>
      </c>
      <c r="C18" s="21" t="s">
        <v>51</v>
      </c>
      <c r="D18" s="21" t="s">
        <v>77</v>
      </c>
      <c r="E18" s="26" t="s">
        <v>65</v>
      </c>
      <c r="F18" s="32">
        <v>6.55</v>
      </c>
      <c r="G18" s="33">
        <v>2011</v>
      </c>
      <c r="I18" s="30">
        <f t="shared" si="1"/>
        <v>6.55</v>
      </c>
      <c r="J18" s="30">
        <f t="shared" si="1"/>
        <v>6.55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456</v>
      </c>
      <c r="C19" s="21" t="s">
        <v>46</v>
      </c>
      <c r="D19" s="21" t="s">
        <v>89</v>
      </c>
      <c r="E19" s="21" t="s">
        <v>65</v>
      </c>
      <c r="F19" s="28">
        <v>5.25</v>
      </c>
      <c r="G19" s="29">
        <v>2011</v>
      </c>
      <c r="I19" s="30">
        <f t="shared" si="1"/>
        <v>5.25</v>
      </c>
      <c r="J19" s="30">
        <f t="shared" si="1"/>
        <v>5.25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482</v>
      </c>
      <c r="C20" s="21" t="s">
        <v>52</v>
      </c>
      <c r="D20" s="21" t="s">
        <v>87</v>
      </c>
      <c r="E20" s="26" t="s">
        <v>65</v>
      </c>
      <c r="F20" s="28">
        <v>4.25</v>
      </c>
      <c r="G20" s="29">
        <v>2011</v>
      </c>
      <c r="I20" s="30">
        <f t="shared" si="1"/>
        <v>4.25</v>
      </c>
      <c r="J20" s="30">
        <f t="shared" si="1"/>
        <v>4.25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424</v>
      </c>
      <c r="C21" s="21" t="s">
        <v>52</v>
      </c>
      <c r="D21" s="21" t="s">
        <v>101</v>
      </c>
      <c r="E21" s="26" t="s">
        <v>65</v>
      </c>
      <c r="F21" s="28">
        <v>3.35</v>
      </c>
      <c r="G21" s="29">
        <v>2011</v>
      </c>
      <c r="I21" s="30">
        <f t="shared" si="1"/>
        <v>3.35</v>
      </c>
      <c r="J21" s="30">
        <f t="shared" si="1"/>
        <v>3.35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175</v>
      </c>
      <c r="C22" s="21" t="s">
        <v>51</v>
      </c>
      <c r="D22" s="21" t="s">
        <v>83</v>
      </c>
      <c r="E22" s="26" t="s">
        <v>65</v>
      </c>
      <c r="F22" s="32">
        <v>3</v>
      </c>
      <c r="G22" s="33">
        <v>2011</v>
      </c>
      <c r="I22" s="30">
        <f t="shared" si="1"/>
        <v>3</v>
      </c>
      <c r="J22" s="30">
        <f t="shared" si="1"/>
        <v>3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2" t="s">
        <v>177</v>
      </c>
      <c r="C23" s="21" t="s">
        <v>46</v>
      </c>
      <c r="D23" s="21" t="s">
        <v>73</v>
      </c>
      <c r="E23" s="26" t="s">
        <v>65</v>
      </c>
      <c r="F23" s="28">
        <v>1.5</v>
      </c>
      <c r="G23" s="29">
        <v>2011</v>
      </c>
      <c r="I23" s="30">
        <f t="shared" si="1"/>
        <v>1.5</v>
      </c>
      <c r="J23" s="30">
        <f t="shared" si="1"/>
        <v>1.5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586</v>
      </c>
      <c r="C24" s="21" t="s">
        <v>51</v>
      </c>
      <c r="D24" s="21" t="s">
        <v>101</v>
      </c>
      <c r="E24" s="26" t="s">
        <v>65</v>
      </c>
      <c r="F24" s="28">
        <v>8.4</v>
      </c>
      <c r="G24" s="29">
        <v>2010</v>
      </c>
      <c r="I24" s="30">
        <f t="shared" si="1"/>
        <v>8.4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500</v>
      </c>
      <c r="C25" s="21" t="s">
        <v>50</v>
      </c>
      <c r="D25" s="21" t="s">
        <v>78</v>
      </c>
      <c r="E25" s="21" t="s">
        <v>497</v>
      </c>
      <c r="F25" s="28">
        <v>4.7</v>
      </c>
      <c r="G25" s="29">
        <v>2010</v>
      </c>
      <c r="I25" s="30">
        <f t="shared" si="1"/>
        <v>4.7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261</v>
      </c>
      <c r="C26" s="21" t="s">
        <v>52</v>
      </c>
      <c r="D26" s="21" t="s">
        <v>92</v>
      </c>
      <c r="E26" s="26" t="s">
        <v>65</v>
      </c>
      <c r="F26" s="28">
        <v>4.2</v>
      </c>
      <c r="G26" s="29">
        <v>2010</v>
      </c>
      <c r="I26" s="30">
        <f t="shared" si="1"/>
        <v>4.2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344</v>
      </c>
      <c r="C27" s="21" t="s">
        <v>46</v>
      </c>
      <c r="D27" s="21" t="s">
        <v>131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45" t="s">
        <v>479</v>
      </c>
      <c r="C28" s="21" t="s">
        <v>48</v>
      </c>
      <c r="D28" s="21" t="s">
        <v>80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729</v>
      </c>
      <c r="C29" s="21" t="s">
        <v>50</v>
      </c>
      <c r="D29" s="21" t="s">
        <v>98</v>
      </c>
      <c r="E29" s="26" t="s">
        <v>65</v>
      </c>
      <c r="F29" s="28">
        <v>1.95</v>
      </c>
      <c r="G29" s="29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216.75</v>
      </c>
      <c r="J31" s="36">
        <f>+SUM(J5:J29)</f>
        <v>193.60000000000005</v>
      </c>
      <c r="K31" s="36">
        <f>+SUM(K5:K29)</f>
        <v>126.70000000000002</v>
      </c>
      <c r="L31" s="36">
        <f>+SUM(L5:L29)</f>
        <v>95</v>
      </c>
      <c r="M31" s="36">
        <f>+SUM(M5:M29)</f>
        <v>5.85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608</v>
      </c>
      <c r="C37" s="21" t="s">
        <v>52</v>
      </c>
      <c r="D37" s="21" t="s">
        <v>85</v>
      </c>
      <c r="E37" s="26">
        <v>2010</v>
      </c>
      <c r="F37" s="28">
        <v>2.2</v>
      </c>
      <c r="G37" s="29">
        <v>2014</v>
      </c>
      <c r="I37" s="30">
        <f aca="true" t="shared" si="2" ref="I37:I44">+CEILING(IF($I$35=E37,F37,IF($I$35&lt;=G37,F37*0.3,0)),0.05)</f>
        <v>2.2</v>
      </c>
      <c r="J37" s="30">
        <f aca="true" t="shared" si="3" ref="J37:J44">+CEILING(IF($J$35&lt;=G37,F37*0.3,0),0.05)</f>
        <v>0.7000000000000001</v>
      </c>
      <c r="K37" s="30">
        <f aca="true" t="shared" si="4" ref="K37:K44">+CEILING(IF($K$35&lt;=G37,F37*0.3,0),0.05)</f>
        <v>0.7000000000000001</v>
      </c>
      <c r="L37" s="30">
        <f aca="true" t="shared" si="5" ref="L37:L44">+CEILING(IF($L$35&lt;=G37,F37*0.3,0),0.05)</f>
        <v>0.7000000000000001</v>
      </c>
      <c r="M37" s="30">
        <f aca="true" t="shared" si="6" ref="M37:M44">CEILING(IF($M$35&lt;=G37,F37*0.3,0),0.05)</f>
        <v>0.7000000000000001</v>
      </c>
    </row>
    <row r="38" spans="1:13" ht="12.75">
      <c r="A38" s="25">
        <v>2</v>
      </c>
      <c r="B38" s="45" t="s">
        <v>398</v>
      </c>
      <c r="C38" s="21" t="s">
        <v>46</v>
      </c>
      <c r="D38" s="21" t="s">
        <v>101</v>
      </c>
      <c r="E38" s="26">
        <v>2010</v>
      </c>
      <c r="F38" s="28">
        <v>2.7</v>
      </c>
      <c r="G38" s="29">
        <v>2013</v>
      </c>
      <c r="I38" s="30">
        <f t="shared" si="2"/>
        <v>2.7</v>
      </c>
      <c r="J38" s="30">
        <f t="shared" si="3"/>
        <v>0.8500000000000001</v>
      </c>
      <c r="K38" s="30">
        <f t="shared" si="4"/>
        <v>0.8500000000000001</v>
      </c>
      <c r="L38" s="30">
        <f t="shared" si="5"/>
        <v>0.8500000000000001</v>
      </c>
      <c r="M38" s="30">
        <f t="shared" si="6"/>
        <v>0</v>
      </c>
    </row>
    <row r="39" spans="1:13" ht="12.75">
      <c r="A39" s="25">
        <v>3</v>
      </c>
      <c r="B39" s="20" t="s">
        <v>182</v>
      </c>
      <c r="C39" s="21" t="s">
        <v>52</v>
      </c>
      <c r="D39" s="21" t="s">
        <v>75</v>
      </c>
      <c r="E39" s="26">
        <v>2008</v>
      </c>
      <c r="F39" s="32">
        <v>1.5</v>
      </c>
      <c r="G39" s="33">
        <v>2011</v>
      </c>
      <c r="I39" s="30">
        <f t="shared" si="2"/>
        <v>0.45</v>
      </c>
      <c r="J39" s="30">
        <f t="shared" si="3"/>
        <v>0.45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2" t="s">
        <v>178</v>
      </c>
      <c r="C40" s="21" t="s">
        <v>46</v>
      </c>
      <c r="D40" s="21" t="s">
        <v>90</v>
      </c>
      <c r="E40" s="26">
        <v>2008</v>
      </c>
      <c r="F40" s="28">
        <v>1.5</v>
      </c>
      <c r="G40" s="29">
        <v>2011</v>
      </c>
      <c r="I40" s="30">
        <f t="shared" si="2"/>
        <v>0.45</v>
      </c>
      <c r="J40" s="30">
        <f t="shared" si="3"/>
        <v>0.45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179</v>
      </c>
      <c r="C41" s="21" t="s">
        <v>50</v>
      </c>
      <c r="D41" s="21" t="s">
        <v>97</v>
      </c>
      <c r="E41" s="26">
        <v>2009</v>
      </c>
      <c r="F41" s="28">
        <v>1.5</v>
      </c>
      <c r="G41" s="29">
        <v>2011</v>
      </c>
      <c r="I41" s="30">
        <f t="shared" si="2"/>
        <v>0.45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181</v>
      </c>
      <c r="C42" s="21" t="s">
        <v>51</v>
      </c>
      <c r="D42" s="21" t="s">
        <v>159</v>
      </c>
      <c r="E42" s="21">
        <v>2008</v>
      </c>
      <c r="F42" s="28">
        <v>3.9</v>
      </c>
      <c r="G42" s="29">
        <v>2010</v>
      </c>
      <c r="I42" s="30">
        <f t="shared" si="2"/>
        <v>1.2000000000000002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5" t="s">
        <v>757</v>
      </c>
      <c r="C43" s="21" t="s">
        <v>48</v>
      </c>
      <c r="D43" s="21" t="s">
        <v>92</v>
      </c>
      <c r="E43" s="26">
        <v>2010</v>
      </c>
      <c r="F43" s="28">
        <v>1.95</v>
      </c>
      <c r="G43" s="29">
        <v>2010</v>
      </c>
      <c r="I43" s="30">
        <f t="shared" si="2"/>
        <v>1.9500000000000002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45" t="s">
        <v>776</v>
      </c>
      <c r="C44" s="21" t="s">
        <v>51</v>
      </c>
      <c r="D44" s="21" t="s">
        <v>77</v>
      </c>
      <c r="E44" s="26">
        <v>2010</v>
      </c>
      <c r="F44" s="28">
        <v>1.95</v>
      </c>
      <c r="G44" s="29">
        <v>2010</v>
      </c>
      <c r="I44" s="30">
        <f t="shared" si="2"/>
        <v>1.9500000000000002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28"/>
      <c r="G45" s="29"/>
      <c r="I45" s="30">
        <f>+CEILING(IF($I$35=E45,F45,IF($I$35&lt;=G45,F45*0.3,0)),0.05)</f>
        <v>0</v>
      </c>
      <c r="J45" s="30">
        <f>+CEILING(IF($J$35&lt;=G45,F45*0.3,0),0.05)</f>
        <v>0</v>
      </c>
      <c r="K45" s="30">
        <f>+CEILING(IF($K$35&lt;=G45,F45*0.3,0),0.05)</f>
        <v>0</v>
      </c>
      <c r="L45" s="30">
        <f>+CEILING(IF($L$35&lt;=G45,F45*0.3,0),0.05)</f>
        <v>0</v>
      </c>
      <c r="M45" s="30">
        <f>CEILING(IF($M$35&lt;=G45,F45*0.3,0),0.05)</f>
        <v>0</v>
      </c>
    </row>
    <row r="46" spans="1:13" ht="12.75">
      <c r="A46" s="25">
        <v>10</v>
      </c>
      <c r="D46" s="21"/>
      <c r="E46" s="26"/>
      <c r="F46" s="28"/>
      <c r="G46" s="29"/>
      <c r="I46" s="30">
        <f>+CEILING(IF($I$35=E46,F46,IF($I$35&lt;=G46,F46*0.3,0)),0.05)</f>
        <v>0</v>
      </c>
      <c r="J46" s="30">
        <f>+CEILING(IF($J$35&lt;=G46,F46*0.3,0),0.05)</f>
        <v>0</v>
      </c>
      <c r="K46" s="30">
        <f>+CEILING(IF($K$35&lt;=G46,F46*0.3,0),0.05)</f>
        <v>0</v>
      </c>
      <c r="L46" s="30">
        <f>+CEILING(IF($L$35&lt;=G46,F46*0.3,0),0.05)</f>
        <v>0</v>
      </c>
      <c r="M46" s="30">
        <f>CEILING(IF($M$35&lt;=G46,F46*0.3,0),0.05)</f>
        <v>0</v>
      </c>
    </row>
    <row r="47" spans="9:13" ht="7.5" customHeight="1">
      <c r="I47" s="34"/>
      <c r="J47" s="34"/>
      <c r="K47" s="34"/>
      <c r="L47" s="34"/>
      <c r="M47" s="34"/>
    </row>
    <row r="48" spans="4:13" ht="12.75">
      <c r="D48" s="21"/>
      <c r="E48" s="26"/>
      <c r="F48" s="28"/>
      <c r="G48" s="29"/>
      <c r="I48" s="36">
        <f>+SUM(I37:I47)</f>
        <v>11.350000000000001</v>
      </c>
      <c r="J48" s="36">
        <f>+SUM(J37:J47)</f>
        <v>2.900000000000001</v>
      </c>
      <c r="K48" s="36">
        <f>+SUM(K37:K47)</f>
        <v>1.5500000000000003</v>
      </c>
      <c r="L48" s="36">
        <f>+SUM(L37:L47)</f>
        <v>1.5500000000000003</v>
      </c>
      <c r="M48" s="36">
        <f>+SUM(M37:M47)</f>
        <v>0.7000000000000001</v>
      </c>
    </row>
    <row r="49" spans="9:13" ht="12.75">
      <c r="I49" s="37"/>
      <c r="J49" s="37"/>
      <c r="K49" s="37"/>
      <c r="L49" s="37"/>
      <c r="M49" s="37"/>
    </row>
    <row r="50" spans="1:13" ht="15.75">
      <c r="A50" s="61" t="s">
        <v>104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105</v>
      </c>
      <c r="C52" s="23"/>
      <c r="D52" s="23"/>
      <c r="E52" s="23"/>
      <c r="F52" s="23" t="s">
        <v>106</v>
      </c>
      <c r="G52" s="23" t="s">
        <v>27</v>
      </c>
      <c r="I52" s="24">
        <f>+I$3</f>
        <v>2010</v>
      </c>
      <c r="J52" s="24">
        <f>+J$3</f>
        <v>2011</v>
      </c>
      <c r="K52" s="24">
        <f>+K$3</f>
        <v>2012</v>
      </c>
      <c r="L52" s="24">
        <f>+L$3</f>
        <v>2013</v>
      </c>
      <c r="M52" s="24">
        <f>+M$3</f>
        <v>2014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9"/>
      <c r="C54" s="59"/>
      <c r="D54" s="59"/>
      <c r="E54" s="59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9"/>
      <c r="C55" s="59"/>
      <c r="D55" s="59"/>
      <c r="E55" s="59"/>
      <c r="F55" s="27"/>
      <c r="G55" s="21"/>
      <c r="I55" s="39">
        <f>F55</f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1" t="s">
        <v>518</v>
      </c>
      <c r="C5" s="21" t="s">
        <v>47</v>
      </c>
      <c r="D5" s="21" t="s">
        <v>90</v>
      </c>
      <c r="E5" s="21" t="s">
        <v>65</v>
      </c>
      <c r="F5" s="28">
        <v>13.6</v>
      </c>
      <c r="G5" s="29">
        <v>2014</v>
      </c>
      <c r="I5" s="30">
        <f aca="true" t="shared" si="0" ref="I5:M14">+IF($G5&gt;=I$3,$F5,0)</f>
        <v>13.6</v>
      </c>
      <c r="J5" s="30">
        <f t="shared" si="0"/>
        <v>13.6</v>
      </c>
      <c r="K5" s="30">
        <f t="shared" si="0"/>
        <v>13.6</v>
      </c>
      <c r="L5" s="30">
        <f t="shared" si="0"/>
        <v>13.6</v>
      </c>
      <c r="M5" s="30">
        <f t="shared" si="0"/>
        <v>13.6</v>
      </c>
    </row>
    <row r="6" spans="1:13" ht="12.75">
      <c r="A6" s="25">
        <v>2</v>
      </c>
      <c r="B6" s="20" t="s">
        <v>556</v>
      </c>
      <c r="C6" s="21" t="s">
        <v>48</v>
      </c>
      <c r="D6" s="21" t="s">
        <v>88</v>
      </c>
      <c r="E6" s="21" t="s">
        <v>65</v>
      </c>
      <c r="F6" s="32">
        <v>1.95</v>
      </c>
      <c r="G6" s="33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20" t="s">
        <v>648</v>
      </c>
      <c r="C7" s="21" t="s">
        <v>49</v>
      </c>
      <c r="D7" s="21" t="s">
        <v>69</v>
      </c>
      <c r="E7" s="21" t="s">
        <v>65</v>
      </c>
      <c r="F7" s="32">
        <v>1.95</v>
      </c>
      <c r="G7" s="33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1.95</v>
      </c>
    </row>
    <row r="8" spans="1:13" ht="12.75">
      <c r="A8" s="25">
        <v>4</v>
      </c>
      <c r="B8" s="20" t="s">
        <v>91</v>
      </c>
      <c r="C8" s="21" t="s">
        <v>47</v>
      </c>
      <c r="D8" s="21" t="s">
        <v>92</v>
      </c>
      <c r="E8" s="21" t="s">
        <v>65</v>
      </c>
      <c r="F8" s="32">
        <v>31.25</v>
      </c>
      <c r="G8" s="33">
        <v>2013</v>
      </c>
      <c r="I8" s="30">
        <f t="shared" si="0"/>
        <v>31.25</v>
      </c>
      <c r="J8" s="30">
        <f t="shared" si="0"/>
        <v>31.25</v>
      </c>
      <c r="K8" s="30">
        <f t="shared" si="0"/>
        <v>31.25</v>
      </c>
      <c r="L8" s="30">
        <f t="shared" si="0"/>
        <v>31.25</v>
      </c>
      <c r="M8" s="30">
        <f t="shared" si="0"/>
        <v>0</v>
      </c>
    </row>
    <row r="9" spans="1:13" ht="12.75">
      <c r="A9" s="25">
        <v>5</v>
      </c>
      <c r="B9" s="20" t="s">
        <v>582</v>
      </c>
      <c r="C9" s="21" t="s">
        <v>48</v>
      </c>
      <c r="D9" s="21" t="s">
        <v>99</v>
      </c>
      <c r="E9" s="26" t="s">
        <v>65</v>
      </c>
      <c r="F9" s="28">
        <v>29.25</v>
      </c>
      <c r="G9" s="29">
        <v>2013</v>
      </c>
      <c r="I9" s="30">
        <f t="shared" si="0"/>
        <v>29.25</v>
      </c>
      <c r="J9" s="30">
        <f t="shared" si="0"/>
        <v>29.25</v>
      </c>
      <c r="K9" s="30">
        <f t="shared" si="0"/>
        <v>29.25</v>
      </c>
      <c r="L9" s="30">
        <f t="shared" si="0"/>
        <v>29.25</v>
      </c>
      <c r="M9" s="30">
        <f t="shared" si="0"/>
        <v>0</v>
      </c>
    </row>
    <row r="10" spans="1:13" ht="12.75">
      <c r="A10" s="25">
        <v>6</v>
      </c>
      <c r="B10" s="20" t="s">
        <v>403</v>
      </c>
      <c r="C10" s="21" t="s">
        <v>47</v>
      </c>
      <c r="D10" s="21" t="s">
        <v>100</v>
      </c>
      <c r="E10" s="26" t="s">
        <v>65</v>
      </c>
      <c r="F10" s="32">
        <v>1.8</v>
      </c>
      <c r="G10" s="33">
        <v>2013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1.8</v>
      </c>
      <c r="M10" s="30">
        <f t="shared" si="0"/>
        <v>0</v>
      </c>
    </row>
    <row r="11" spans="1:13" ht="12.75">
      <c r="A11" s="25">
        <v>7</v>
      </c>
      <c r="B11" s="20" t="s">
        <v>420</v>
      </c>
      <c r="C11" s="21" t="s">
        <v>46</v>
      </c>
      <c r="D11" s="21" t="s">
        <v>69</v>
      </c>
      <c r="E11" s="26" t="s">
        <v>65</v>
      </c>
      <c r="F11" s="28">
        <v>27.95</v>
      </c>
      <c r="G11" s="29">
        <v>2012</v>
      </c>
      <c r="I11" s="30">
        <f t="shared" si="0"/>
        <v>27.95</v>
      </c>
      <c r="J11" s="30">
        <f t="shared" si="0"/>
        <v>27.95</v>
      </c>
      <c r="K11" s="30">
        <f t="shared" si="0"/>
        <v>27.95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46" t="s">
        <v>581</v>
      </c>
      <c r="C12" s="21" t="s">
        <v>52</v>
      </c>
      <c r="D12" s="21" t="s">
        <v>89</v>
      </c>
      <c r="E12" s="26" t="s">
        <v>65</v>
      </c>
      <c r="F12" s="28">
        <v>3.3</v>
      </c>
      <c r="G12" s="29">
        <v>2012</v>
      </c>
      <c r="I12" s="30">
        <f t="shared" si="0"/>
        <v>3.3</v>
      </c>
      <c r="J12" s="30">
        <f t="shared" si="0"/>
        <v>3.3</v>
      </c>
      <c r="K12" s="30">
        <f t="shared" si="0"/>
        <v>3.3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316</v>
      </c>
      <c r="C13" s="21" t="s">
        <v>48</v>
      </c>
      <c r="D13" s="21" t="s">
        <v>123</v>
      </c>
      <c r="E13" s="21" t="s">
        <v>65</v>
      </c>
      <c r="F13" s="28">
        <v>3.25</v>
      </c>
      <c r="G13" s="29">
        <v>2012</v>
      </c>
      <c r="I13" s="30">
        <f t="shared" si="0"/>
        <v>3.25</v>
      </c>
      <c r="J13" s="30">
        <f t="shared" si="0"/>
        <v>3.25</v>
      </c>
      <c r="K13" s="30">
        <f t="shared" si="0"/>
        <v>3.25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46" t="s">
        <v>580</v>
      </c>
      <c r="C14" s="21" t="s">
        <v>51</v>
      </c>
      <c r="D14" s="21" t="s">
        <v>83</v>
      </c>
      <c r="E14" s="26" t="s">
        <v>65</v>
      </c>
      <c r="F14" s="28">
        <v>1.95</v>
      </c>
      <c r="G14" s="29">
        <v>2012</v>
      </c>
      <c r="I14" s="30">
        <f t="shared" si="0"/>
        <v>1.95</v>
      </c>
      <c r="J14" s="30">
        <f t="shared" si="0"/>
        <v>1.95</v>
      </c>
      <c r="K14" s="30">
        <f t="shared" si="0"/>
        <v>1.95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9" t="s">
        <v>287</v>
      </c>
      <c r="C15" s="21" t="s">
        <v>48</v>
      </c>
      <c r="D15" s="21" t="s">
        <v>90</v>
      </c>
      <c r="E15" s="21" t="s">
        <v>65</v>
      </c>
      <c r="F15" s="28">
        <v>1.65</v>
      </c>
      <c r="G15" s="29">
        <v>2012</v>
      </c>
      <c r="I15" s="30">
        <f aca="true" t="shared" si="1" ref="I15:M29">+IF($G15&gt;=I$3,$F15,0)</f>
        <v>1.65</v>
      </c>
      <c r="J15" s="30">
        <f t="shared" si="1"/>
        <v>1.65</v>
      </c>
      <c r="K15" s="30">
        <f t="shared" si="1"/>
        <v>1.65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319</v>
      </c>
      <c r="C16" s="21" t="s">
        <v>48</v>
      </c>
      <c r="D16" s="21" t="s">
        <v>89</v>
      </c>
      <c r="E16" s="21" t="s">
        <v>65</v>
      </c>
      <c r="F16" s="32">
        <v>1.65</v>
      </c>
      <c r="G16" s="33">
        <v>2012</v>
      </c>
      <c r="I16" s="30">
        <f t="shared" si="1"/>
        <v>1.65</v>
      </c>
      <c r="J16" s="30">
        <f t="shared" si="1"/>
        <v>1.65</v>
      </c>
      <c r="K16" s="30">
        <f t="shared" si="1"/>
        <v>1.65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579</v>
      </c>
      <c r="C17" s="21" t="s">
        <v>47</v>
      </c>
      <c r="D17" s="21" t="s">
        <v>101</v>
      </c>
      <c r="E17" s="26" t="s">
        <v>65</v>
      </c>
      <c r="F17" s="28">
        <v>20.05</v>
      </c>
      <c r="G17" s="29">
        <v>2011</v>
      </c>
      <c r="I17" s="30">
        <f t="shared" si="1"/>
        <v>20.05</v>
      </c>
      <c r="J17" s="30">
        <f t="shared" si="1"/>
        <v>20.05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671</v>
      </c>
      <c r="C18" s="21" t="s">
        <v>48</v>
      </c>
      <c r="D18" s="21" t="s">
        <v>92</v>
      </c>
      <c r="E18" s="21" t="s">
        <v>65</v>
      </c>
      <c r="F18" s="32">
        <v>14.55</v>
      </c>
      <c r="G18" s="33">
        <v>2011</v>
      </c>
      <c r="I18" s="30">
        <f t="shared" si="1"/>
        <v>14.55</v>
      </c>
      <c r="J18" s="30">
        <f t="shared" si="1"/>
        <v>14.55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321</v>
      </c>
      <c r="C19" s="21" t="s">
        <v>47</v>
      </c>
      <c r="D19" s="21" t="s">
        <v>159</v>
      </c>
      <c r="E19" s="21" t="s">
        <v>65</v>
      </c>
      <c r="F19" s="32">
        <v>9.5</v>
      </c>
      <c r="G19" s="33">
        <v>2011</v>
      </c>
      <c r="I19" s="30">
        <f t="shared" si="1"/>
        <v>9.5</v>
      </c>
      <c r="J19" s="30">
        <f t="shared" si="1"/>
        <v>9.5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609</v>
      </c>
      <c r="C20" s="21" t="s">
        <v>51</v>
      </c>
      <c r="D20" s="21" t="s">
        <v>64</v>
      </c>
      <c r="E20" s="26" t="s">
        <v>65</v>
      </c>
      <c r="F20" s="32">
        <v>1.95</v>
      </c>
      <c r="G20" s="33">
        <v>2011</v>
      </c>
      <c r="I20" s="30">
        <f t="shared" si="1"/>
        <v>1.95</v>
      </c>
      <c r="J20" s="30">
        <f t="shared" si="1"/>
        <v>1.95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291</v>
      </c>
      <c r="C21" s="21" t="s">
        <v>48</v>
      </c>
      <c r="D21" s="21" t="s">
        <v>132</v>
      </c>
      <c r="E21" s="21" t="s">
        <v>65</v>
      </c>
      <c r="F21" s="32">
        <v>1.8</v>
      </c>
      <c r="G21" s="33">
        <v>2011</v>
      </c>
      <c r="I21" s="30">
        <f t="shared" si="1"/>
        <v>1.8</v>
      </c>
      <c r="J21" s="30">
        <f t="shared" si="1"/>
        <v>1.8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469</v>
      </c>
      <c r="C22" s="21" t="s">
        <v>48</v>
      </c>
      <c r="D22" s="21" t="s">
        <v>159</v>
      </c>
      <c r="E22" s="26" t="s">
        <v>65</v>
      </c>
      <c r="F22" s="28">
        <v>1.8</v>
      </c>
      <c r="G22" s="31">
        <v>2011</v>
      </c>
      <c r="I22" s="30">
        <f t="shared" si="1"/>
        <v>1.8</v>
      </c>
      <c r="J22" s="30">
        <f t="shared" si="1"/>
        <v>1.8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288</v>
      </c>
      <c r="C23" s="21" t="s">
        <v>48</v>
      </c>
      <c r="D23" s="21" t="s">
        <v>113</v>
      </c>
      <c r="E23" s="26" t="s">
        <v>65</v>
      </c>
      <c r="F23" s="32">
        <v>1.5</v>
      </c>
      <c r="G23" s="33">
        <v>2011</v>
      </c>
      <c r="I23" s="30">
        <f t="shared" si="1"/>
        <v>1.5</v>
      </c>
      <c r="J23" s="30">
        <f t="shared" si="1"/>
        <v>1.5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695</v>
      </c>
      <c r="C24" s="21" t="s">
        <v>51</v>
      </c>
      <c r="D24" s="21" t="s">
        <v>75</v>
      </c>
      <c r="E24" s="26" t="s">
        <v>65</v>
      </c>
      <c r="F24" s="32">
        <v>1.95</v>
      </c>
      <c r="G24" s="33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571</v>
      </c>
      <c r="C25" s="21" t="s">
        <v>46</v>
      </c>
      <c r="D25" s="21" t="s">
        <v>124</v>
      </c>
      <c r="E25" s="26" t="s">
        <v>65</v>
      </c>
      <c r="F25" s="32">
        <v>31.85</v>
      </c>
      <c r="G25" s="33">
        <v>2010</v>
      </c>
      <c r="I25" s="30">
        <f t="shared" si="1"/>
        <v>31.85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539</v>
      </c>
      <c r="C26" s="21" t="s">
        <v>52</v>
      </c>
      <c r="D26" s="21" t="s">
        <v>78</v>
      </c>
      <c r="E26" s="26" t="s">
        <v>65</v>
      </c>
      <c r="F26" s="28">
        <v>5.1</v>
      </c>
      <c r="G26" s="29">
        <v>2010</v>
      </c>
      <c r="I26" s="30">
        <f t="shared" si="1"/>
        <v>5.1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647</v>
      </c>
      <c r="C27" s="21" t="s">
        <v>51</v>
      </c>
      <c r="D27" s="21" t="s">
        <v>82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471</v>
      </c>
      <c r="C28" s="21" t="s">
        <v>49</v>
      </c>
      <c r="D28" s="21" t="s">
        <v>123</v>
      </c>
      <c r="E28" s="21" t="s">
        <v>65</v>
      </c>
      <c r="F28" s="32">
        <v>1.8</v>
      </c>
      <c r="G28" s="33">
        <v>2010</v>
      </c>
      <c r="I28" s="30">
        <f t="shared" si="1"/>
        <v>1.8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41" t="s">
        <v>290</v>
      </c>
      <c r="C29" s="21" t="s">
        <v>50</v>
      </c>
      <c r="D29" s="21" t="s">
        <v>89</v>
      </c>
      <c r="E29" s="21" t="s">
        <v>65</v>
      </c>
      <c r="F29" s="28">
        <v>1.65</v>
      </c>
      <c r="G29" s="29">
        <v>2010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215.00000000000003</v>
      </c>
      <c r="J31" s="36">
        <f>+SUM(J5:J29)</f>
        <v>170.70000000000005</v>
      </c>
      <c r="K31" s="36">
        <f>+SUM(K5:K29)</f>
        <v>119.55000000000001</v>
      </c>
      <c r="L31" s="36">
        <f>+SUM(L5:L29)</f>
        <v>79.8</v>
      </c>
      <c r="M31" s="36">
        <f>+SUM(M5:M29)</f>
        <v>17.5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289</v>
      </c>
      <c r="C37" s="21" t="s">
        <v>48</v>
      </c>
      <c r="D37" s="21" t="s">
        <v>71</v>
      </c>
      <c r="E37" s="26">
        <v>2010</v>
      </c>
      <c r="F37" s="32">
        <v>1.5</v>
      </c>
      <c r="G37" s="33">
        <v>2011</v>
      </c>
      <c r="I37" s="30">
        <f aca="true" t="shared" si="2" ref="I37:I46">+CEILING(IF($I$35=E37,F37,IF($I$35&lt;=G37,F37*0.3,0)),0.05)</f>
        <v>1.5</v>
      </c>
      <c r="J37" s="30">
        <f aca="true" t="shared" si="3" ref="J37:J46">+CEILING(IF($J$35&lt;=G37,F37*0.3,0),0.05)</f>
        <v>0.45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292</v>
      </c>
      <c r="C38" s="21" t="s">
        <v>52</v>
      </c>
      <c r="D38" s="21" t="s">
        <v>131</v>
      </c>
      <c r="E38" s="21">
        <v>2006</v>
      </c>
      <c r="F38" s="32">
        <v>5.25</v>
      </c>
      <c r="G38" s="33">
        <v>2010</v>
      </c>
      <c r="I38" s="30">
        <f t="shared" si="2"/>
        <v>1.6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184</v>
      </c>
      <c r="C39" s="21" t="s">
        <v>48</v>
      </c>
      <c r="D39" s="21" t="s">
        <v>69</v>
      </c>
      <c r="E39" s="26">
        <v>2009</v>
      </c>
      <c r="F39" s="32">
        <v>4.5</v>
      </c>
      <c r="G39" s="33">
        <v>2010</v>
      </c>
      <c r="I39" s="30">
        <f t="shared" si="2"/>
        <v>1.35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D40" s="21"/>
      <c r="E40" s="26"/>
      <c r="F40" s="28"/>
      <c r="G40" s="29"/>
      <c r="I40" s="30">
        <f t="shared" si="2"/>
        <v>0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D41" s="21"/>
      <c r="E41" s="21"/>
      <c r="F41" s="32"/>
      <c r="G41" s="33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4.45</v>
      </c>
      <c r="J48" s="36">
        <f>+SUM(J37:J47)</f>
        <v>0.45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61" t="s">
        <v>104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105</v>
      </c>
      <c r="C52" s="23"/>
      <c r="D52" s="23"/>
      <c r="E52" s="23"/>
      <c r="F52" s="23" t="s">
        <v>106</v>
      </c>
      <c r="G52" s="23" t="s">
        <v>27</v>
      </c>
      <c r="I52" s="24">
        <f>+I$3</f>
        <v>2010</v>
      </c>
      <c r="J52" s="24">
        <f>+J$3</f>
        <v>2011</v>
      </c>
      <c r="K52" s="24">
        <f>+K$3</f>
        <v>2012</v>
      </c>
      <c r="L52" s="24">
        <f>+L$3</f>
        <v>2013</v>
      </c>
      <c r="M52" s="24">
        <f>+M$3</f>
        <v>2014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9"/>
      <c r="C54" s="59"/>
      <c r="D54" s="59"/>
      <c r="E54" s="59"/>
      <c r="F54" s="27"/>
      <c r="G54" s="21"/>
      <c r="I54" s="39">
        <f>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9"/>
      <c r="C55" s="59"/>
      <c r="D55" s="59"/>
      <c r="E55" s="59"/>
      <c r="F55" s="27"/>
      <c r="G55" s="21"/>
      <c r="I55" s="43">
        <f>F55</f>
        <v>0</v>
      </c>
      <c r="J55" s="43">
        <v>0</v>
      </c>
      <c r="K55" s="43">
        <v>0</v>
      </c>
      <c r="L55" s="43">
        <v>0</v>
      </c>
      <c r="M55" s="43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517</v>
      </c>
      <c r="C5" s="21" t="s">
        <v>49</v>
      </c>
      <c r="D5" s="21" t="s">
        <v>120</v>
      </c>
      <c r="E5" s="26" t="s">
        <v>65</v>
      </c>
      <c r="F5" s="28">
        <v>1.95</v>
      </c>
      <c r="G5" s="29">
        <v>2014</v>
      </c>
      <c r="I5" s="30">
        <f aca="true" t="shared" si="0" ref="I5:M14">+IF($G5&gt;=I$3,$F5,0)</f>
        <v>1.95</v>
      </c>
      <c r="J5" s="30">
        <f t="shared" si="0"/>
        <v>1.95</v>
      </c>
      <c r="K5" s="30">
        <f t="shared" si="0"/>
        <v>1.95</v>
      </c>
      <c r="L5" s="30">
        <f t="shared" si="0"/>
        <v>1.95</v>
      </c>
      <c r="M5" s="30">
        <f t="shared" si="0"/>
        <v>1.95</v>
      </c>
    </row>
    <row r="6" spans="1:13" ht="12.75">
      <c r="A6" s="25">
        <v>2</v>
      </c>
      <c r="B6" s="20" t="s">
        <v>656</v>
      </c>
      <c r="C6" s="21" t="s">
        <v>48</v>
      </c>
      <c r="D6" s="21" t="s">
        <v>101</v>
      </c>
      <c r="E6" s="21" t="s">
        <v>65</v>
      </c>
      <c r="F6" s="32">
        <v>1.95</v>
      </c>
      <c r="G6" s="33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41" t="s">
        <v>365</v>
      </c>
      <c r="C7" s="21" t="s">
        <v>47</v>
      </c>
      <c r="D7" s="21" t="s">
        <v>75</v>
      </c>
      <c r="E7" s="26" t="s">
        <v>65</v>
      </c>
      <c r="F7" s="28">
        <v>13.3</v>
      </c>
      <c r="G7" s="31">
        <v>2013</v>
      </c>
      <c r="I7" s="30">
        <f t="shared" si="0"/>
        <v>13.3</v>
      </c>
      <c r="J7" s="30">
        <f t="shared" si="0"/>
        <v>13.3</v>
      </c>
      <c r="K7" s="30">
        <f t="shared" si="0"/>
        <v>13.3</v>
      </c>
      <c r="L7" s="30">
        <f t="shared" si="0"/>
        <v>13.3</v>
      </c>
      <c r="M7" s="30">
        <f t="shared" si="0"/>
        <v>0</v>
      </c>
    </row>
    <row r="8" spans="1:13" ht="12.75">
      <c r="A8" s="25">
        <v>4</v>
      </c>
      <c r="B8" s="41" t="s">
        <v>568</v>
      </c>
      <c r="C8" s="21" t="s">
        <v>52</v>
      </c>
      <c r="D8" s="21" t="s">
        <v>86</v>
      </c>
      <c r="E8" s="26" t="s">
        <v>65</v>
      </c>
      <c r="F8" s="28">
        <v>3.1</v>
      </c>
      <c r="G8" s="29">
        <v>2013</v>
      </c>
      <c r="I8" s="30">
        <f t="shared" si="0"/>
        <v>3.1</v>
      </c>
      <c r="J8" s="30">
        <f t="shared" si="0"/>
        <v>3.1</v>
      </c>
      <c r="K8" s="30">
        <f t="shared" si="0"/>
        <v>3.1</v>
      </c>
      <c r="L8" s="30">
        <f t="shared" si="0"/>
        <v>3.1</v>
      </c>
      <c r="M8" s="30">
        <f t="shared" si="0"/>
        <v>0</v>
      </c>
    </row>
    <row r="9" spans="1:13" ht="12.75">
      <c r="A9" s="25">
        <v>5</v>
      </c>
      <c r="B9" s="41" t="s">
        <v>620</v>
      </c>
      <c r="C9" s="21" t="s">
        <v>48</v>
      </c>
      <c r="D9" s="21" t="s">
        <v>123</v>
      </c>
      <c r="E9" s="26" t="s">
        <v>65</v>
      </c>
      <c r="F9" s="28">
        <v>17.15</v>
      </c>
      <c r="G9" s="29">
        <v>2012</v>
      </c>
      <c r="I9" s="30">
        <f t="shared" si="0"/>
        <v>17.15</v>
      </c>
      <c r="J9" s="30">
        <f t="shared" si="0"/>
        <v>17.15</v>
      </c>
      <c r="K9" s="30">
        <f t="shared" si="0"/>
        <v>17.15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41" t="s">
        <v>293</v>
      </c>
      <c r="C10" s="21" t="s">
        <v>47</v>
      </c>
      <c r="D10" s="21" t="s">
        <v>90</v>
      </c>
      <c r="E10" s="26" t="s">
        <v>65</v>
      </c>
      <c r="F10" s="28">
        <v>9.7</v>
      </c>
      <c r="G10" s="29">
        <v>2012</v>
      </c>
      <c r="I10" s="30">
        <f t="shared" si="0"/>
        <v>9.7</v>
      </c>
      <c r="J10" s="30">
        <f t="shared" si="0"/>
        <v>9.7</v>
      </c>
      <c r="K10" s="30">
        <f t="shared" si="0"/>
        <v>9.7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41" t="s">
        <v>565</v>
      </c>
      <c r="C11" s="21" t="s">
        <v>49</v>
      </c>
      <c r="D11" s="21" t="s">
        <v>132</v>
      </c>
      <c r="E11" s="26" t="s">
        <v>65</v>
      </c>
      <c r="F11" s="28">
        <v>8</v>
      </c>
      <c r="G11" s="29">
        <v>2012</v>
      </c>
      <c r="I11" s="30">
        <f t="shared" si="0"/>
        <v>8</v>
      </c>
      <c r="J11" s="30">
        <f t="shared" si="0"/>
        <v>8</v>
      </c>
      <c r="K11" s="30">
        <f t="shared" si="0"/>
        <v>8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446</v>
      </c>
      <c r="C12" s="21" t="s">
        <v>48</v>
      </c>
      <c r="D12" s="21" t="s">
        <v>64</v>
      </c>
      <c r="E12" s="26" t="s">
        <v>65</v>
      </c>
      <c r="F12" s="28">
        <v>3.15</v>
      </c>
      <c r="G12" s="31">
        <v>2012</v>
      </c>
      <c r="I12" s="30">
        <f t="shared" si="0"/>
        <v>3.15</v>
      </c>
      <c r="J12" s="30">
        <f t="shared" si="0"/>
        <v>3.15</v>
      </c>
      <c r="K12" s="30">
        <f t="shared" si="0"/>
        <v>3.15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567</v>
      </c>
      <c r="C13" s="21" t="s">
        <v>48</v>
      </c>
      <c r="D13" s="21" t="s">
        <v>92</v>
      </c>
      <c r="E13" s="26" t="s">
        <v>65</v>
      </c>
      <c r="F13" s="28">
        <v>35.75</v>
      </c>
      <c r="G13" s="29">
        <v>2011</v>
      </c>
      <c r="I13" s="30">
        <f t="shared" si="0"/>
        <v>35.75</v>
      </c>
      <c r="J13" s="30">
        <f t="shared" si="0"/>
        <v>35.75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41" t="s">
        <v>296</v>
      </c>
      <c r="C14" s="21" t="s">
        <v>47</v>
      </c>
      <c r="D14" s="21" t="s">
        <v>77</v>
      </c>
      <c r="E14" s="26" t="s">
        <v>65</v>
      </c>
      <c r="F14" s="28">
        <v>5.85</v>
      </c>
      <c r="G14" s="29">
        <v>2011</v>
      </c>
      <c r="I14" s="30">
        <f t="shared" si="0"/>
        <v>5.85</v>
      </c>
      <c r="J14" s="30">
        <f t="shared" si="0"/>
        <v>5.85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125</v>
      </c>
      <c r="C15" s="21" t="s">
        <v>52</v>
      </c>
      <c r="D15" s="21" t="s">
        <v>88</v>
      </c>
      <c r="E15" s="26" t="s">
        <v>65</v>
      </c>
      <c r="F15" s="28">
        <v>4.35</v>
      </c>
      <c r="G15" s="29">
        <v>2011</v>
      </c>
      <c r="I15" s="30">
        <f aca="true" t="shared" si="1" ref="I15:M29">+IF($G15&gt;=I$3,$F15,0)</f>
        <v>4.35</v>
      </c>
      <c r="J15" s="30">
        <f t="shared" si="1"/>
        <v>4.35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1" t="s">
        <v>297</v>
      </c>
      <c r="C16" s="21" t="s">
        <v>51</v>
      </c>
      <c r="D16" s="21" t="s">
        <v>99</v>
      </c>
      <c r="E16" s="26" t="s">
        <v>65</v>
      </c>
      <c r="F16" s="28">
        <v>1.5</v>
      </c>
      <c r="G16" s="29">
        <v>2011</v>
      </c>
      <c r="I16" s="30">
        <f t="shared" si="1"/>
        <v>1.5</v>
      </c>
      <c r="J16" s="30">
        <f t="shared" si="1"/>
        <v>1.5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564</v>
      </c>
      <c r="C17" s="21" t="s">
        <v>48</v>
      </c>
      <c r="D17" s="21" t="s">
        <v>99</v>
      </c>
      <c r="E17" s="26" t="s">
        <v>65</v>
      </c>
      <c r="F17" s="28">
        <v>24.75</v>
      </c>
      <c r="G17" s="29">
        <v>2010</v>
      </c>
      <c r="I17" s="30">
        <f t="shared" si="1"/>
        <v>24.75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273</v>
      </c>
      <c r="C18" s="21" t="s">
        <v>46</v>
      </c>
      <c r="D18" s="21" t="s">
        <v>113</v>
      </c>
      <c r="E18" s="21" t="s">
        <v>65</v>
      </c>
      <c r="F18" s="32">
        <v>9.25</v>
      </c>
      <c r="G18" s="33">
        <v>2010</v>
      </c>
      <c r="I18" s="30">
        <f t="shared" si="1"/>
        <v>9.25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298</v>
      </c>
      <c r="C19" s="21" t="s">
        <v>47</v>
      </c>
      <c r="D19" s="21" t="s">
        <v>88</v>
      </c>
      <c r="E19" s="26" t="s">
        <v>65</v>
      </c>
      <c r="F19" s="28">
        <v>8</v>
      </c>
      <c r="G19" s="29">
        <v>2010</v>
      </c>
      <c r="I19" s="30">
        <f t="shared" si="1"/>
        <v>8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1" t="s">
        <v>566</v>
      </c>
      <c r="C20" s="21" t="s">
        <v>50</v>
      </c>
      <c r="D20" s="21" t="s">
        <v>101</v>
      </c>
      <c r="E20" s="26" t="s">
        <v>65</v>
      </c>
      <c r="F20" s="28">
        <v>4.25</v>
      </c>
      <c r="G20" s="29">
        <v>2010</v>
      </c>
      <c r="I20" s="30">
        <f t="shared" si="1"/>
        <v>4.25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597</v>
      </c>
      <c r="C21" s="21" t="s">
        <v>49</v>
      </c>
      <c r="D21" s="21" t="s">
        <v>141</v>
      </c>
      <c r="E21" s="26" t="s">
        <v>65</v>
      </c>
      <c r="F21" s="28">
        <v>4.2</v>
      </c>
      <c r="G21" s="29">
        <v>2010</v>
      </c>
      <c r="I21" s="30">
        <f t="shared" si="1"/>
        <v>4.2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1" t="s">
        <v>299</v>
      </c>
      <c r="C22" s="21" t="s">
        <v>46</v>
      </c>
      <c r="D22" s="21" t="s">
        <v>64</v>
      </c>
      <c r="E22" s="26" t="s">
        <v>65</v>
      </c>
      <c r="F22" s="28">
        <v>3.35</v>
      </c>
      <c r="G22" s="29">
        <v>2010</v>
      </c>
      <c r="I22" s="30">
        <f t="shared" si="1"/>
        <v>3.35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310</v>
      </c>
      <c r="C23" s="21" t="s">
        <v>48</v>
      </c>
      <c r="D23" s="21" t="s">
        <v>71</v>
      </c>
      <c r="E23" s="26" t="s">
        <v>65</v>
      </c>
      <c r="F23" s="32">
        <v>2.7</v>
      </c>
      <c r="G23" s="33">
        <v>2010</v>
      </c>
      <c r="I23" s="30">
        <f t="shared" si="1"/>
        <v>2.7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804</v>
      </c>
      <c r="C24" s="21" t="s">
        <v>51</v>
      </c>
      <c r="D24" s="21" t="s">
        <v>123</v>
      </c>
      <c r="E24" s="26" t="s">
        <v>65</v>
      </c>
      <c r="F24" s="28">
        <v>1.95</v>
      </c>
      <c r="G24" s="29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782</v>
      </c>
      <c r="C25" s="21" t="s">
        <v>51</v>
      </c>
      <c r="D25" s="21" t="s">
        <v>89</v>
      </c>
      <c r="E25" s="26" t="s">
        <v>65</v>
      </c>
      <c r="F25" s="28">
        <v>1.95</v>
      </c>
      <c r="G25" s="31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1" t="s">
        <v>351</v>
      </c>
      <c r="C26" s="21" t="s">
        <v>52</v>
      </c>
      <c r="D26" s="21" t="s">
        <v>89</v>
      </c>
      <c r="E26" s="26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781</v>
      </c>
      <c r="C27" s="21" t="s">
        <v>48</v>
      </c>
      <c r="D27" s="21" t="s">
        <v>77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744</v>
      </c>
      <c r="C28" s="21" t="s">
        <v>51</v>
      </c>
      <c r="D28" s="21" t="s">
        <v>92</v>
      </c>
      <c r="E28" s="26" t="s">
        <v>65</v>
      </c>
      <c r="F28" s="32">
        <v>1.95</v>
      </c>
      <c r="G28" s="33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301</v>
      </c>
      <c r="C29" s="21" t="s">
        <v>51</v>
      </c>
      <c r="D29" s="21" t="s">
        <v>69</v>
      </c>
      <c r="E29" s="26" t="s">
        <v>65</v>
      </c>
      <c r="F29" s="28">
        <v>1.35</v>
      </c>
      <c r="G29" s="29">
        <v>2010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173.3499999999999</v>
      </c>
      <c r="J31" s="36">
        <f>+SUM(J5:J29)</f>
        <v>105.75</v>
      </c>
      <c r="K31" s="36">
        <f>+SUM(K5:K29)</f>
        <v>58.300000000000004</v>
      </c>
      <c r="L31" s="36">
        <f>+SUM(L5:L29)</f>
        <v>20.3</v>
      </c>
      <c r="M31" s="36">
        <f>+SUM(M5:M29)</f>
        <v>3.9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366</v>
      </c>
      <c r="C37" s="21" t="s">
        <v>48</v>
      </c>
      <c r="D37" s="21" t="s">
        <v>103</v>
      </c>
      <c r="E37" s="26">
        <v>2009</v>
      </c>
      <c r="F37" s="28">
        <v>1.8</v>
      </c>
      <c r="G37" s="29">
        <v>2013</v>
      </c>
      <c r="I37" s="30">
        <f aca="true" t="shared" si="2" ref="I37:I46">+CEILING(IF($I$35=E37,F37,IF($I$35&lt;=G37,F37*0.3,0)),0.05)</f>
        <v>0.55</v>
      </c>
      <c r="J37" s="30">
        <f aca="true" t="shared" si="3" ref="J37:J46">+CEILING(IF($J$35&lt;=G37,F37*0.3,0),0.05)</f>
        <v>0.55</v>
      </c>
      <c r="K37" s="30">
        <f aca="true" t="shared" si="4" ref="K37:K46">+CEILING(IF($K$35&lt;=G37,F37*0.3,0),0.05)</f>
        <v>0.55</v>
      </c>
      <c r="L37" s="30">
        <f aca="true" t="shared" si="5" ref="L37:L46">+CEILING(IF($L$35&lt;=G37,F37*0.3,0),0.05)</f>
        <v>0.55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294</v>
      </c>
      <c r="C38" s="21" t="s">
        <v>48</v>
      </c>
      <c r="D38" s="21" t="s">
        <v>85</v>
      </c>
      <c r="E38" s="26">
        <v>2009</v>
      </c>
      <c r="F38" s="32">
        <v>1.65</v>
      </c>
      <c r="G38" s="33">
        <v>2012</v>
      </c>
      <c r="I38" s="30">
        <f t="shared" si="2"/>
        <v>0.5</v>
      </c>
      <c r="J38" s="30">
        <f t="shared" si="3"/>
        <v>0.5</v>
      </c>
      <c r="K38" s="30">
        <f t="shared" si="4"/>
        <v>0.5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295</v>
      </c>
      <c r="C39" s="21" t="s">
        <v>48</v>
      </c>
      <c r="D39" s="21" t="s">
        <v>123</v>
      </c>
      <c r="E39" s="26">
        <v>2009</v>
      </c>
      <c r="F39" s="28">
        <v>1.65</v>
      </c>
      <c r="G39" s="31">
        <v>2012</v>
      </c>
      <c r="I39" s="30">
        <f t="shared" si="2"/>
        <v>0.5</v>
      </c>
      <c r="J39" s="30">
        <f t="shared" si="3"/>
        <v>0.5</v>
      </c>
      <c r="K39" s="30">
        <f t="shared" si="4"/>
        <v>0.5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621</v>
      </c>
      <c r="C40" s="21" t="s">
        <v>46</v>
      </c>
      <c r="D40" s="21" t="s">
        <v>100</v>
      </c>
      <c r="E40" s="26">
        <v>2010</v>
      </c>
      <c r="F40" s="28">
        <v>12.25</v>
      </c>
      <c r="G40" s="29">
        <v>2011</v>
      </c>
      <c r="I40" s="30">
        <f t="shared" si="2"/>
        <v>12.25</v>
      </c>
      <c r="J40" s="30">
        <f t="shared" si="3"/>
        <v>3.7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165</v>
      </c>
      <c r="C41" s="21" t="s">
        <v>51</v>
      </c>
      <c r="D41" s="21" t="s">
        <v>132</v>
      </c>
      <c r="E41" s="26">
        <v>2010</v>
      </c>
      <c r="F41" s="28">
        <v>6.8</v>
      </c>
      <c r="G41" s="31">
        <v>2010</v>
      </c>
      <c r="I41" s="30">
        <f t="shared" si="2"/>
        <v>6.800000000000001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1" t="s">
        <v>599</v>
      </c>
      <c r="C42" s="21" t="s">
        <v>51</v>
      </c>
      <c r="D42" s="21" t="s">
        <v>75</v>
      </c>
      <c r="E42" s="26">
        <v>2010</v>
      </c>
      <c r="F42" s="28">
        <v>2.2</v>
      </c>
      <c r="G42" s="29">
        <v>2010</v>
      </c>
      <c r="I42" s="30">
        <f t="shared" si="2"/>
        <v>2.2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300</v>
      </c>
      <c r="C43" s="21" t="s">
        <v>46</v>
      </c>
      <c r="D43" s="21" t="s">
        <v>69</v>
      </c>
      <c r="E43" s="26">
        <v>2010</v>
      </c>
      <c r="F43" s="28">
        <v>2.1</v>
      </c>
      <c r="G43" s="29">
        <v>2010</v>
      </c>
      <c r="I43" s="30">
        <f t="shared" si="2"/>
        <v>2.1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619</v>
      </c>
      <c r="C44" s="21" t="s">
        <v>52</v>
      </c>
      <c r="D44" s="21" t="s">
        <v>159</v>
      </c>
      <c r="E44" s="26">
        <v>2010</v>
      </c>
      <c r="F44" s="32">
        <v>1.95</v>
      </c>
      <c r="G44" s="33">
        <v>2010</v>
      </c>
      <c r="I44" s="30">
        <f t="shared" si="2"/>
        <v>1.9500000000000002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743</v>
      </c>
      <c r="C45" s="21" t="s">
        <v>50</v>
      </c>
      <c r="D45" s="21" t="s">
        <v>78</v>
      </c>
      <c r="E45" s="26">
        <v>2010</v>
      </c>
      <c r="F45" s="28">
        <v>1.95</v>
      </c>
      <c r="G45" s="29">
        <v>2010</v>
      </c>
      <c r="I45" s="30">
        <f t="shared" si="2"/>
        <v>1.9500000000000002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771</v>
      </c>
      <c r="C46" s="21" t="s">
        <v>52</v>
      </c>
      <c r="D46" s="21" t="s">
        <v>90</v>
      </c>
      <c r="E46" s="26">
        <v>2010</v>
      </c>
      <c r="F46" s="28">
        <v>1.95</v>
      </c>
      <c r="G46" s="29">
        <v>2010</v>
      </c>
      <c r="I46" s="30">
        <f t="shared" si="2"/>
        <v>1.9500000000000002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777</v>
      </c>
      <c r="C47" s="21" t="s">
        <v>51</v>
      </c>
      <c r="D47" s="21" t="s">
        <v>77</v>
      </c>
      <c r="E47" s="26">
        <v>2010</v>
      </c>
      <c r="F47" s="28">
        <v>1.95</v>
      </c>
      <c r="G47" s="31">
        <v>2010</v>
      </c>
      <c r="I47" s="30">
        <f>+CEILING(IF($I$35=E47,F47,IF($I$35&lt;=G47,F47*0.3,0)),0.05)</f>
        <v>1.9500000000000002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34" t="s">
        <v>302</v>
      </c>
      <c r="C48" s="21" t="s">
        <v>46</v>
      </c>
      <c r="D48" s="21" t="s">
        <v>103</v>
      </c>
      <c r="E48" s="26">
        <v>2007</v>
      </c>
      <c r="F48" s="28">
        <v>1.25</v>
      </c>
      <c r="G48" s="29">
        <v>2010</v>
      </c>
      <c r="I48" s="30">
        <f>+CEILING(IF($I$35=E48,F48,IF($I$35&lt;=G48,F48*0.3,0)),0.05)</f>
        <v>0.4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B49" s="20" t="s">
        <v>786</v>
      </c>
      <c r="C49" s="21" t="s">
        <v>51</v>
      </c>
      <c r="D49" s="21" t="s">
        <v>101</v>
      </c>
      <c r="E49" s="26">
        <v>2010</v>
      </c>
      <c r="F49" s="28">
        <v>1.95</v>
      </c>
      <c r="G49" s="29">
        <v>2010</v>
      </c>
      <c r="I49" s="30">
        <f>+CEILING(IF($I$35=E49,F49,IF($I$35&lt;=G49,F49*0.3,0)),0.05)</f>
        <v>1.9500000000000002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9:13" ht="7.5" customHeight="1">
      <c r="I50" s="34"/>
      <c r="J50" s="34"/>
      <c r="K50" s="34"/>
      <c r="L50" s="34"/>
      <c r="M50" s="34"/>
    </row>
    <row r="51" spans="9:13" ht="12.75">
      <c r="I51" s="36">
        <f>+SUM(I37:I50)</f>
        <v>35.050000000000004</v>
      </c>
      <c r="J51" s="36">
        <f>+SUM(J37:J50)</f>
        <v>5.25</v>
      </c>
      <c r="K51" s="36">
        <f>+SUM(K37:K50)</f>
        <v>1.55</v>
      </c>
      <c r="L51" s="36">
        <f>+SUM(L37:L50)</f>
        <v>0.55</v>
      </c>
      <c r="M51" s="36">
        <f>+SUM(M37:M50)</f>
        <v>0</v>
      </c>
    </row>
    <row r="52" spans="9:13" ht="12.75">
      <c r="I52" s="37"/>
      <c r="J52" s="37"/>
      <c r="K52" s="37"/>
      <c r="L52" s="37"/>
      <c r="M52" s="37"/>
    </row>
    <row r="53" spans="1:13" ht="15.75">
      <c r="A53" s="61" t="s">
        <v>104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105</v>
      </c>
      <c r="C55" s="23"/>
      <c r="D55" s="23"/>
      <c r="E55" s="23"/>
      <c r="F55" s="23" t="s">
        <v>106</v>
      </c>
      <c r="G55" s="23" t="s">
        <v>27</v>
      </c>
      <c r="I55" s="24">
        <f>+I$3</f>
        <v>2010</v>
      </c>
      <c r="J55" s="24">
        <f>+J$3</f>
        <v>2011</v>
      </c>
      <c r="K55" s="24">
        <f>+K$3</f>
        <v>2012</v>
      </c>
      <c r="L55" s="24">
        <f>+L$3</f>
        <v>2013</v>
      </c>
      <c r="M55" s="24">
        <f>+M$3</f>
        <v>2014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59"/>
      <c r="C57" s="59"/>
      <c r="D57" s="59"/>
      <c r="E57" s="59"/>
      <c r="F57" s="27"/>
      <c r="G57" s="21"/>
      <c r="I57" s="39">
        <f>+F57</f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2</v>
      </c>
      <c r="B58" s="59"/>
      <c r="C58" s="59"/>
      <c r="D58" s="59"/>
      <c r="E58" s="59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+SUM(I57:I59)</f>
        <v>0</v>
      </c>
      <c r="J60" s="35">
        <f>+SUM(J57:J59)</f>
        <v>0</v>
      </c>
      <c r="K60" s="35">
        <f>+SUM(K57:K59)</f>
        <v>0</v>
      </c>
      <c r="L60" s="35">
        <f>+SUM(L57:L59)</f>
        <v>0</v>
      </c>
      <c r="M60" s="35">
        <f>+SUM(M57:M59)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8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602</v>
      </c>
      <c r="C5" s="21" t="s">
        <v>46</v>
      </c>
      <c r="D5" s="21" t="s">
        <v>99</v>
      </c>
      <c r="E5" s="26" t="s">
        <v>65</v>
      </c>
      <c r="F5" s="28">
        <v>40.2</v>
      </c>
      <c r="G5" s="29">
        <v>2014</v>
      </c>
      <c r="I5" s="30">
        <f aca="true" t="shared" si="0" ref="I5:M14">+IF($G5&gt;=I$3,$F5,0)</f>
        <v>40.2</v>
      </c>
      <c r="J5" s="30">
        <f t="shared" si="0"/>
        <v>40.2</v>
      </c>
      <c r="K5" s="30">
        <f t="shared" si="0"/>
        <v>40.2</v>
      </c>
      <c r="L5" s="30">
        <f t="shared" si="0"/>
        <v>40.2</v>
      </c>
      <c r="M5" s="30">
        <f t="shared" si="0"/>
        <v>40.2</v>
      </c>
    </row>
    <row r="6" spans="1:13" ht="12.75">
      <c r="A6" s="25">
        <v>2</v>
      </c>
      <c r="B6" s="20" t="s">
        <v>519</v>
      </c>
      <c r="C6" s="21" t="s">
        <v>47</v>
      </c>
      <c r="D6" s="21" t="s">
        <v>159</v>
      </c>
      <c r="E6" s="26" t="s">
        <v>65</v>
      </c>
      <c r="F6" s="28">
        <v>12.65</v>
      </c>
      <c r="G6" s="29">
        <v>2014</v>
      </c>
      <c r="I6" s="30">
        <f t="shared" si="0"/>
        <v>12.65</v>
      </c>
      <c r="J6" s="30">
        <f t="shared" si="0"/>
        <v>12.65</v>
      </c>
      <c r="K6" s="30">
        <f t="shared" si="0"/>
        <v>12.65</v>
      </c>
      <c r="L6" s="30">
        <f t="shared" si="0"/>
        <v>12.65</v>
      </c>
      <c r="M6" s="30">
        <f t="shared" si="0"/>
        <v>12.65</v>
      </c>
    </row>
    <row r="7" spans="1:13" ht="12.75">
      <c r="A7" s="25">
        <v>3</v>
      </c>
      <c r="B7" s="20" t="s">
        <v>533</v>
      </c>
      <c r="C7" s="21" t="s">
        <v>48</v>
      </c>
      <c r="D7" s="21" t="s">
        <v>98</v>
      </c>
      <c r="E7" s="26" t="s">
        <v>65</v>
      </c>
      <c r="F7" s="28">
        <v>2.45</v>
      </c>
      <c r="G7" s="29">
        <v>2014</v>
      </c>
      <c r="I7" s="30">
        <f t="shared" si="0"/>
        <v>2.45</v>
      </c>
      <c r="J7" s="30">
        <f t="shared" si="0"/>
        <v>2.45</v>
      </c>
      <c r="K7" s="30">
        <f t="shared" si="0"/>
        <v>2.45</v>
      </c>
      <c r="L7" s="30">
        <f t="shared" si="0"/>
        <v>2.45</v>
      </c>
      <c r="M7" s="30">
        <f t="shared" si="0"/>
        <v>2.45</v>
      </c>
    </row>
    <row r="8" spans="1:13" ht="12.75">
      <c r="A8" s="25">
        <v>4</v>
      </c>
      <c r="B8" s="20" t="s">
        <v>520</v>
      </c>
      <c r="C8" s="21" t="s">
        <v>51</v>
      </c>
      <c r="D8" s="21" t="s">
        <v>87</v>
      </c>
      <c r="E8" s="21" t="s">
        <v>65</v>
      </c>
      <c r="F8" s="28">
        <v>1.95</v>
      </c>
      <c r="G8" s="29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1.95</v>
      </c>
    </row>
    <row r="9" spans="1:13" ht="12.75">
      <c r="A9" s="25">
        <v>5</v>
      </c>
      <c r="B9" s="20" t="s">
        <v>475</v>
      </c>
      <c r="C9" s="21" t="s">
        <v>46</v>
      </c>
      <c r="D9" s="21" t="s">
        <v>73</v>
      </c>
      <c r="E9" s="21" t="s">
        <v>65</v>
      </c>
      <c r="F9" s="28">
        <v>7.75</v>
      </c>
      <c r="G9" s="29">
        <v>2013</v>
      </c>
      <c r="I9" s="30">
        <f t="shared" si="0"/>
        <v>7.75</v>
      </c>
      <c r="J9" s="30">
        <f t="shared" si="0"/>
        <v>7.75</v>
      </c>
      <c r="K9" s="30">
        <f t="shared" si="0"/>
        <v>7.75</v>
      </c>
      <c r="L9" s="30">
        <f t="shared" si="0"/>
        <v>7.75</v>
      </c>
      <c r="M9" s="30">
        <f t="shared" si="0"/>
        <v>0</v>
      </c>
    </row>
    <row r="10" spans="1:13" ht="12.75">
      <c r="A10" s="25">
        <v>6</v>
      </c>
      <c r="B10" s="20" t="s">
        <v>390</v>
      </c>
      <c r="C10" s="21" t="s">
        <v>48</v>
      </c>
      <c r="D10" s="21" t="s">
        <v>86</v>
      </c>
      <c r="E10" s="26" t="s">
        <v>65</v>
      </c>
      <c r="F10" s="28">
        <v>4.9</v>
      </c>
      <c r="G10" s="29">
        <v>2013</v>
      </c>
      <c r="I10" s="30">
        <f t="shared" si="0"/>
        <v>4.9</v>
      </c>
      <c r="J10" s="30">
        <f t="shared" si="0"/>
        <v>4.9</v>
      </c>
      <c r="K10" s="30">
        <f t="shared" si="0"/>
        <v>4.9</v>
      </c>
      <c r="L10" s="30">
        <f t="shared" si="0"/>
        <v>4.9</v>
      </c>
      <c r="M10" s="30">
        <f t="shared" si="0"/>
        <v>0</v>
      </c>
    </row>
    <row r="11" spans="1:13" ht="12.75">
      <c r="A11" s="25">
        <v>7</v>
      </c>
      <c r="B11" s="20" t="s">
        <v>389</v>
      </c>
      <c r="C11" s="21" t="s">
        <v>48</v>
      </c>
      <c r="D11" s="21" t="s">
        <v>77</v>
      </c>
      <c r="E11" s="21" t="s">
        <v>65</v>
      </c>
      <c r="F11" s="28">
        <v>4.45</v>
      </c>
      <c r="G11" s="29">
        <v>2013</v>
      </c>
      <c r="I11" s="30">
        <f t="shared" si="0"/>
        <v>4.45</v>
      </c>
      <c r="J11" s="30">
        <f t="shared" si="0"/>
        <v>4.45</v>
      </c>
      <c r="K11" s="30">
        <f t="shared" si="0"/>
        <v>4.45</v>
      </c>
      <c r="L11" s="30">
        <f t="shared" si="0"/>
        <v>4.45</v>
      </c>
      <c r="M11" s="30">
        <f t="shared" si="0"/>
        <v>0</v>
      </c>
    </row>
    <row r="12" spans="1:13" ht="12.75">
      <c r="A12" s="25">
        <v>8</v>
      </c>
      <c r="B12" s="34" t="s">
        <v>391</v>
      </c>
      <c r="C12" s="21" t="s">
        <v>49</v>
      </c>
      <c r="D12" s="21" t="s">
        <v>64</v>
      </c>
      <c r="E12" s="26" t="s">
        <v>65</v>
      </c>
      <c r="F12" s="28">
        <v>1.8</v>
      </c>
      <c r="G12" s="29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1.8</v>
      </c>
      <c r="M12" s="30">
        <f t="shared" si="0"/>
        <v>0</v>
      </c>
    </row>
    <row r="13" spans="1:13" ht="12.75">
      <c r="A13" s="25">
        <v>9</v>
      </c>
      <c r="B13" s="20" t="s">
        <v>486</v>
      </c>
      <c r="C13" s="21" t="s">
        <v>48</v>
      </c>
      <c r="D13" s="21" t="s">
        <v>141</v>
      </c>
      <c r="E13" s="26" t="s">
        <v>65</v>
      </c>
      <c r="F13" s="32">
        <v>1.8</v>
      </c>
      <c r="G13" s="33">
        <v>2013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1.8</v>
      </c>
      <c r="M13" s="30">
        <f t="shared" si="0"/>
        <v>0</v>
      </c>
    </row>
    <row r="14" spans="1:13" ht="12.75">
      <c r="A14" s="25">
        <v>10</v>
      </c>
      <c r="B14" s="34" t="s">
        <v>303</v>
      </c>
      <c r="C14" s="21" t="s">
        <v>51</v>
      </c>
      <c r="D14" s="21" t="s">
        <v>88</v>
      </c>
      <c r="E14" s="21" t="s">
        <v>65</v>
      </c>
      <c r="F14" s="28">
        <v>2.05</v>
      </c>
      <c r="G14" s="31">
        <v>2012</v>
      </c>
      <c r="I14" s="30">
        <f t="shared" si="0"/>
        <v>2.05</v>
      </c>
      <c r="J14" s="30">
        <f t="shared" si="0"/>
        <v>2.05</v>
      </c>
      <c r="K14" s="30">
        <f t="shared" si="0"/>
        <v>2.05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305</v>
      </c>
      <c r="C15" s="21" t="s">
        <v>47</v>
      </c>
      <c r="D15" s="21" t="s">
        <v>71</v>
      </c>
      <c r="E15" s="26" t="s">
        <v>65</v>
      </c>
      <c r="F15" s="28">
        <v>8.8</v>
      </c>
      <c r="G15" s="29">
        <v>2011</v>
      </c>
      <c r="I15" s="30">
        <f aca="true" t="shared" si="1" ref="I15:M29">+IF($G15&gt;=I$3,$F15,0)</f>
        <v>8.8</v>
      </c>
      <c r="J15" s="30">
        <f t="shared" si="1"/>
        <v>8.8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154</v>
      </c>
      <c r="C16" s="21" t="s">
        <v>50</v>
      </c>
      <c r="D16" s="21" t="s">
        <v>83</v>
      </c>
      <c r="E16" s="26" t="s">
        <v>65</v>
      </c>
      <c r="F16" s="32">
        <v>2.4</v>
      </c>
      <c r="G16" s="33">
        <v>2011</v>
      </c>
      <c r="I16" s="30">
        <f t="shared" si="1"/>
        <v>2.4</v>
      </c>
      <c r="J16" s="30">
        <f t="shared" si="1"/>
        <v>2.4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307</v>
      </c>
      <c r="C17" s="21" t="s">
        <v>51</v>
      </c>
      <c r="D17" s="21" t="s">
        <v>131</v>
      </c>
      <c r="E17" s="26" t="s">
        <v>65</v>
      </c>
      <c r="F17" s="32">
        <v>1.5</v>
      </c>
      <c r="G17" s="33">
        <v>2011</v>
      </c>
      <c r="I17" s="30">
        <f t="shared" si="1"/>
        <v>1.5</v>
      </c>
      <c r="J17" s="30">
        <f t="shared" si="1"/>
        <v>1.5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626</v>
      </c>
      <c r="C18" s="21" t="s">
        <v>47</v>
      </c>
      <c r="D18" s="21" t="s">
        <v>80</v>
      </c>
      <c r="E18" s="21" t="s">
        <v>65</v>
      </c>
      <c r="F18" s="32">
        <v>29.45</v>
      </c>
      <c r="G18" s="33">
        <v>2010</v>
      </c>
      <c r="I18" s="30">
        <f t="shared" si="1"/>
        <v>29.45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311</v>
      </c>
      <c r="C19" s="21" t="s">
        <v>49</v>
      </c>
      <c r="D19" s="21" t="s">
        <v>101</v>
      </c>
      <c r="E19" s="26" t="s">
        <v>65</v>
      </c>
      <c r="F19" s="32">
        <v>2.5</v>
      </c>
      <c r="G19" s="33">
        <v>2010</v>
      </c>
      <c r="I19" s="30">
        <f t="shared" si="1"/>
        <v>2.5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751</v>
      </c>
      <c r="C20" s="21" t="s">
        <v>49</v>
      </c>
      <c r="D20" s="21" t="s">
        <v>71</v>
      </c>
      <c r="E20" s="21" t="s">
        <v>65</v>
      </c>
      <c r="F20" s="28">
        <v>1.95</v>
      </c>
      <c r="G20" s="29">
        <v>2010</v>
      </c>
      <c r="I20" s="30">
        <f t="shared" si="1"/>
        <v>1.95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752</v>
      </c>
      <c r="C21" s="21" t="s">
        <v>47</v>
      </c>
      <c r="D21" s="21" t="s">
        <v>90</v>
      </c>
      <c r="E21" s="26" t="s">
        <v>65</v>
      </c>
      <c r="F21" s="32">
        <v>1.95</v>
      </c>
      <c r="G21" s="33">
        <v>2010</v>
      </c>
      <c r="I21" s="30">
        <f t="shared" si="1"/>
        <v>1.95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791</v>
      </c>
      <c r="C22" s="21" t="s">
        <v>52</v>
      </c>
      <c r="D22" s="21" t="s">
        <v>71</v>
      </c>
      <c r="E22" s="21" t="s">
        <v>65</v>
      </c>
      <c r="F22" s="28">
        <v>1.95</v>
      </c>
      <c r="G22" s="29">
        <v>2010</v>
      </c>
      <c r="I22" s="30">
        <f t="shared" si="1"/>
        <v>1.95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788</v>
      </c>
      <c r="C23" s="21" t="s">
        <v>52</v>
      </c>
      <c r="D23" s="21" t="s">
        <v>99</v>
      </c>
      <c r="E23" s="21" t="s">
        <v>65</v>
      </c>
      <c r="F23" s="28">
        <v>1.95</v>
      </c>
      <c r="G23" s="29">
        <v>2010</v>
      </c>
      <c r="I23" s="30">
        <f t="shared" si="1"/>
        <v>1.95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333</v>
      </c>
      <c r="C24" s="21" t="s">
        <v>48</v>
      </c>
      <c r="D24" s="21" t="s">
        <v>86</v>
      </c>
      <c r="E24" s="21" t="s">
        <v>65</v>
      </c>
      <c r="F24" s="28">
        <v>1.95</v>
      </c>
      <c r="G24" s="29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800</v>
      </c>
      <c r="C25" s="21" t="s">
        <v>51</v>
      </c>
      <c r="D25" s="21" t="s">
        <v>73</v>
      </c>
      <c r="E25" s="21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721</v>
      </c>
      <c r="C26" s="21" t="s">
        <v>51</v>
      </c>
      <c r="D26" s="21" t="s">
        <v>100</v>
      </c>
      <c r="E26" s="26" t="s">
        <v>65</v>
      </c>
      <c r="F26" s="32">
        <v>1.95</v>
      </c>
      <c r="G26" s="33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7" t="s">
        <v>719</v>
      </c>
      <c r="C27" s="21" t="s">
        <v>52</v>
      </c>
      <c r="D27" s="21" t="s">
        <v>92</v>
      </c>
      <c r="E27" s="21" t="s">
        <v>65</v>
      </c>
      <c r="F27" s="32">
        <v>1.95</v>
      </c>
      <c r="G27" s="33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41" t="s">
        <v>722</v>
      </c>
      <c r="C28" s="21" t="s">
        <v>48</v>
      </c>
      <c r="D28" s="21" t="s">
        <v>87</v>
      </c>
      <c r="E28" s="21" t="s">
        <v>65</v>
      </c>
      <c r="F28" s="32">
        <v>1.95</v>
      </c>
      <c r="G28" s="33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313</v>
      </c>
      <c r="C29" s="21" t="s">
        <v>47</v>
      </c>
      <c r="D29" s="21" t="s">
        <v>141</v>
      </c>
      <c r="E29" s="26" t="s">
        <v>65</v>
      </c>
      <c r="F29" s="28">
        <v>1.35</v>
      </c>
      <c r="G29" s="29">
        <v>2010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D31" s="21"/>
      <c r="E31" s="21"/>
      <c r="F31" s="32"/>
      <c r="G31" s="33"/>
      <c r="I31" s="36">
        <f>+SUM(I5:I29)</f>
        <v>143.54999999999993</v>
      </c>
      <c r="J31" s="36">
        <f>+SUM(J5:J29)</f>
        <v>92.7</v>
      </c>
      <c r="K31" s="36">
        <f>+SUM(K5:K29)</f>
        <v>80</v>
      </c>
      <c r="L31" s="36">
        <f>+SUM(L5:L29)</f>
        <v>77.95</v>
      </c>
      <c r="M31" s="36">
        <f>+SUM(M5:M29)</f>
        <v>57.25000000000001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304</v>
      </c>
      <c r="C37" s="21" t="s">
        <v>48</v>
      </c>
      <c r="D37" s="21" t="s">
        <v>132</v>
      </c>
      <c r="E37" s="21">
        <v>2010</v>
      </c>
      <c r="F37" s="28">
        <v>1.65</v>
      </c>
      <c r="G37" s="29">
        <v>2012</v>
      </c>
      <c r="I37" s="30">
        <f aca="true" t="shared" si="2" ref="I37:I51">+CEILING(IF($I$35=E37,F37,IF($I$35&lt;=G37,F37*0.3,0)),0.05)</f>
        <v>1.6500000000000001</v>
      </c>
      <c r="J37" s="30">
        <f aca="true" t="shared" si="3" ref="J37:J51">+CEILING(IF($J$35&lt;=G37,F37*0.3,0),0.05)</f>
        <v>0.5</v>
      </c>
      <c r="K37" s="30">
        <f aca="true" t="shared" si="4" ref="K37:K51">+CEILING(IF($K$35&lt;=G37,F37*0.3,0),0.05)</f>
        <v>0.5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306</v>
      </c>
      <c r="C38" s="21" t="s">
        <v>52</v>
      </c>
      <c r="D38" s="21" t="s">
        <v>141</v>
      </c>
      <c r="E38" s="26">
        <v>2010</v>
      </c>
      <c r="F38" s="32">
        <v>4.4</v>
      </c>
      <c r="G38" s="33">
        <v>2011</v>
      </c>
      <c r="I38" s="30">
        <f t="shared" si="2"/>
        <v>4.4</v>
      </c>
      <c r="J38" s="30">
        <f t="shared" si="3"/>
        <v>1.35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308</v>
      </c>
      <c r="C39" s="21" t="s">
        <v>47</v>
      </c>
      <c r="D39" s="21" t="s">
        <v>132</v>
      </c>
      <c r="E39" s="21">
        <v>2009</v>
      </c>
      <c r="F39" s="28">
        <v>53</v>
      </c>
      <c r="G39" s="29">
        <v>2010</v>
      </c>
      <c r="I39" s="30">
        <f t="shared" si="2"/>
        <v>15.9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417</v>
      </c>
      <c r="C40" s="21" t="s">
        <v>47</v>
      </c>
      <c r="D40" s="21" t="s">
        <v>99</v>
      </c>
      <c r="E40" s="21">
        <v>2009</v>
      </c>
      <c r="F40" s="32">
        <v>21</v>
      </c>
      <c r="G40" s="33">
        <v>2010</v>
      </c>
      <c r="I40" s="30">
        <f t="shared" si="2"/>
        <v>6.300000000000001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507</v>
      </c>
      <c r="C41" s="21" t="s">
        <v>51</v>
      </c>
      <c r="D41" s="21" t="s">
        <v>80</v>
      </c>
      <c r="E41" s="21">
        <v>2010</v>
      </c>
      <c r="F41" s="28">
        <v>10.6</v>
      </c>
      <c r="G41" s="29">
        <v>2010</v>
      </c>
      <c r="I41" s="30">
        <f t="shared" si="2"/>
        <v>10.600000000000001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312</v>
      </c>
      <c r="C42" s="21" t="s">
        <v>52</v>
      </c>
      <c r="D42" s="21" t="s">
        <v>75</v>
      </c>
      <c r="E42" s="21">
        <v>2010</v>
      </c>
      <c r="F42" s="28">
        <v>2.15</v>
      </c>
      <c r="G42" s="29">
        <v>2010</v>
      </c>
      <c r="I42" s="30">
        <f t="shared" si="2"/>
        <v>2.15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694</v>
      </c>
      <c r="C43" s="21" t="s">
        <v>46</v>
      </c>
      <c r="D43" s="21" t="s">
        <v>99</v>
      </c>
      <c r="E43" s="26">
        <v>2010</v>
      </c>
      <c r="F43" s="32">
        <v>1.95</v>
      </c>
      <c r="G43" s="33">
        <v>2010</v>
      </c>
      <c r="I43" s="30">
        <f t="shared" si="2"/>
        <v>1.9500000000000002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698</v>
      </c>
      <c r="C44" s="21" t="s">
        <v>48</v>
      </c>
      <c r="D44" s="21" t="s">
        <v>85</v>
      </c>
      <c r="E44" s="21">
        <v>2010</v>
      </c>
      <c r="F44" s="32">
        <v>1.95</v>
      </c>
      <c r="G44" s="33">
        <v>2010</v>
      </c>
      <c r="I44" s="30">
        <f t="shared" si="2"/>
        <v>1.9500000000000002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640</v>
      </c>
      <c r="C45" s="21" t="s">
        <v>46</v>
      </c>
      <c r="D45" s="21" t="s">
        <v>99</v>
      </c>
      <c r="E45" s="21">
        <v>2010</v>
      </c>
      <c r="F45" s="28">
        <v>1.95</v>
      </c>
      <c r="G45" s="29">
        <v>2010</v>
      </c>
      <c r="I45" s="30">
        <f t="shared" si="2"/>
        <v>1.9500000000000002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731</v>
      </c>
      <c r="C46" s="21" t="s">
        <v>48</v>
      </c>
      <c r="D46" s="21" t="s">
        <v>89</v>
      </c>
      <c r="E46" s="21">
        <v>2010</v>
      </c>
      <c r="F46" s="32">
        <v>1.95</v>
      </c>
      <c r="G46" s="33">
        <v>2010</v>
      </c>
      <c r="I46" s="30">
        <f t="shared" si="2"/>
        <v>1.9500000000000002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736</v>
      </c>
      <c r="C47" s="21" t="s">
        <v>52</v>
      </c>
      <c r="D47" s="21" t="s">
        <v>75</v>
      </c>
      <c r="E47" s="21">
        <v>2010</v>
      </c>
      <c r="F47" s="28">
        <v>1.95</v>
      </c>
      <c r="G47" s="29">
        <v>2010</v>
      </c>
      <c r="I47" s="30">
        <f t="shared" si="2"/>
        <v>1.9500000000000002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761</v>
      </c>
      <c r="C48" s="21" t="s">
        <v>51</v>
      </c>
      <c r="D48" s="21" t="s">
        <v>141</v>
      </c>
      <c r="E48" s="21">
        <v>2010</v>
      </c>
      <c r="F48" s="32">
        <v>1.95</v>
      </c>
      <c r="G48" s="33">
        <v>2010</v>
      </c>
      <c r="I48" s="30">
        <f t="shared" si="2"/>
        <v>1.9500000000000002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740</v>
      </c>
      <c r="C49" s="21" t="s">
        <v>46</v>
      </c>
      <c r="D49" s="21" t="s">
        <v>89</v>
      </c>
      <c r="E49" s="21">
        <v>2010</v>
      </c>
      <c r="F49" s="28">
        <v>1.95</v>
      </c>
      <c r="G49" s="29">
        <v>2010</v>
      </c>
      <c r="I49" s="30">
        <f t="shared" si="2"/>
        <v>1.9500000000000002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764</v>
      </c>
      <c r="C50" s="21" t="s">
        <v>52</v>
      </c>
      <c r="D50" s="21" t="s">
        <v>98</v>
      </c>
      <c r="E50" s="21">
        <v>2010</v>
      </c>
      <c r="F50" s="28">
        <v>1.95</v>
      </c>
      <c r="G50" s="29">
        <v>2010</v>
      </c>
      <c r="I50" s="30">
        <f t="shared" si="2"/>
        <v>1.9500000000000002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20" t="s">
        <v>784</v>
      </c>
      <c r="C51" s="21" t="s">
        <v>785</v>
      </c>
      <c r="D51" s="21" t="s">
        <v>85</v>
      </c>
      <c r="E51" s="21">
        <v>2010</v>
      </c>
      <c r="F51" s="28">
        <v>1.95</v>
      </c>
      <c r="G51" s="29">
        <v>2010</v>
      </c>
      <c r="I51" s="30">
        <f t="shared" si="2"/>
        <v>1.9500000000000002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20" t="s">
        <v>607</v>
      </c>
      <c r="C52" s="21" t="s">
        <v>50</v>
      </c>
      <c r="D52" s="21" t="s">
        <v>99</v>
      </c>
      <c r="E52" s="21">
        <v>2010</v>
      </c>
      <c r="F52" s="28">
        <v>1.95</v>
      </c>
      <c r="G52" s="29">
        <v>2010</v>
      </c>
      <c r="I52" s="30">
        <f>+CEILING(IF($I$35=E52,F52,IF($I$35&lt;=G52,F52*0.3,0)),0.05)</f>
        <v>1.9500000000000002</v>
      </c>
      <c r="J52" s="30">
        <f>+CEILING(IF($J$35&lt;=G52,F52*0.3,0),0.05)</f>
        <v>0</v>
      </c>
      <c r="K52" s="30">
        <f>+CEILING(IF($K$35&lt;=G52,F52*0.3,0),0.05)</f>
        <v>0</v>
      </c>
      <c r="L52" s="30">
        <f>+CEILING(IF($L$35&lt;=G52,F52*0.3,0),0.05)</f>
        <v>0</v>
      </c>
      <c r="M52" s="30">
        <f>CEILING(IF($M$35&lt;=G52,F52*0.3,0),0.05)</f>
        <v>0</v>
      </c>
    </row>
    <row r="53" spans="1:13" ht="12.75">
      <c r="A53" s="25">
        <v>17</v>
      </c>
      <c r="B53" s="20" t="s">
        <v>779</v>
      </c>
      <c r="C53" s="21" t="s">
        <v>51</v>
      </c>
      <c r="D53" s="21" t="s">
        <v>120</v>
      </c>
      <c r="E53" s="21">
        <v>2010</v>
      </c>
      <c r="F53" s="28">
        <v>1.95</v>
      </c>
      <c r="G53" s="29">
        <v>2010</v>
      </c>
      <c r="I53" s="30">
        <f>+CEILING(IF($I$35=E53,F53,IF($I$35&lt;=G53,F53*0.3,0)),0.05)</f>
        <v>1.9500000000000002</v>
      </c>
      <c r="J53" s="30">
        <f>+CEILING(IF($J$35&lt;=G53,F53*0.3,0),0.05)</f>
        <v>0</v>
      </c>
      <c r="K53" s="30">
        <f>+CEILING(IF($K$35&lt;=G53,F53*0.3,0),0.05)</f>
        <v>0</v>
      </c>
      <c r="L53" s="30">
        <f>+CEILING(IF($L$35&lt;=G53,F53*0.3,0),0.05)</f>
        <v>0</v>
      </c>
      <c r="M53" s="30">
        <f>CEILING(IF($M$35&lt;=G53,F53*0.3,0),0.05)</f>
        <v>0</v>
      </c>
    </row>
    <row r="54" spans="1:13" ht="12.75">
      <c r="A54" s="25">
        <v>18</v>
      </c>
      <c r="B54" s="20" t="s">
        <v>315</v>
      </c>
      <c r="C54" s="21" t="s">
        <v>46</v>
      </c>
      <c r="D54" s="21" t="s">
        <v>77</v>
      </c>
      <c r="E54" s="26">
        <v>2006</v>
      </c>
      <c r="F54" s="32">
        <v>1.6</v>
      </c>
      <c r="G54" s="33">
        <v>2010</v>
      </c>
      <c r="I54" s="30">
        <f>+CEILING(IF($I$35=E54,F54,IF($I$35&lt;=G54,F54*0.3,0)),0.05)</f>
        <v>0.5</v>
      </c>
      <c r="J54" s="30">
        <f>+CEILING(IF($J$35&lt;=G54,F54*0.3,0),0.05)</f>
        <v>0</v>
      </c>
      <c r="K54" s="30">
        <f>+CEILING(IF($K$35&lt;=G54,F54*0.3,0),0.05)</f>
        <v>0</v>
      </c>
      <c r="L54" s="30">
        <f>+CEILING(IF($L$35&lt;=G54,F54*0.3,0),0.05)</f>
        <v>0</v>
      </c>
      <c r="M54" s="30">
        <f>CEILING(IF($M$35&lt;=G54,F54*0.3,0),0.05)</f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62.95000000000004</v>
      </c>
      <c r="J56" s="36">
        <f>+SUM(J37:J55)</f>
        <v>1.85</v>
      </c>
      <c r="K56" s="36">
        <f>+SUM(K37:K55)</f>
        <v>0.5</v>
      </c>
      <c r="L56" s="36">
        <f>+SUM(L37:L55)</f>
        <v>0</v>
      </c>
      <c r="M56" s="36">
        <f>+SUM(M37:M55)</f>
        <v>0</v>
      </c>
    </row>
    <row r="57" spans="9:13" ht="12.75">
      <c r="I57" s="37"/>
      <c r="J57" s="37"/>
      <c r="K57" s="37"/>
      <c r="L57" s="37"/>
      <c r="M57" s="37"/>
    </row>
    <row r="58" spans="1:13" ht="15.75">
      <c r="A58" s="61" t="s">
        <v>104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105</v>
      </c>
      <c r="C60" s="23"/>
      <c r="D60" s="23"/>
      <c r="E60" s="23"/>
      <c r="F60" s="23" t="s">
        <v>106</v>
      </c>
      <c r="G60" s="23" t="s">
        <v>27</v>
      </c>
      <c r="I60" s="24">
        <f>+I$3</f>
        <v>2010</v>
      </c>
      <c r="J60" s="24">
        <f>+J$3</f>
        <v>2011</v>
      </c>
      <c r="K60" s="24">
        <f>+K$3</f>
        <v>2012</v>
      </c>
      <c r="L60" s="24">
        <f>+L$3</f>
        <v>2013</v>
      </c>
      <c r="M60" s="24">
        <f>+M$3</f>
        <v>2014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59"/>
      <c r="C62" s="59"/>
      <c r="D62" s="59"/>
      <c r="E62" s="59"/>
      <c r="F62" s="28"/>
      <c r="G62" s="29"/>
      <c r="I62" s="43">
        <v>0</v>
      </c>
      <c r="J62" s="43">
        <v>0</v>
      </c>
      <c r="K62" s="43">
        <v>0</v>
      </c>
      <c r="L62" s="43">
        <v>0</v>
      </c>
      <c r="M62" s="43">
        <v>0</v>
      </c>
    </row>
    <row r="63" spans="1:13" ht="12.75">
      <c r="A63" s="25">
        <v>2</v>
      </c>
      <c r="B63" s="59"/>
      <c r="C63" s="59"/>
      <c r="D63" s="59"/>
      <c r="E63" s="59"/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508</v>
      </c>
      <c r="C5" s="21" t="s">
        <v>46</v>
      </c>
      <c r="D5" s="21" t="s">
        <v>97</v>
      </c>
      <c r="E5" s="26" t="s">
        <v>65</v>
      </c>
      <c r="F5" s="28">
        <v>49.8</v>
      </c>
      <c r="G5" s="29">
        <v>2014</v>
      </c>
      <c r="I5" s="30">
        <f aca="true" t="shared" si="0" ref="I5:M14">+IF($G5&gt;=I$3,$F5,0)</f>
        <v>49.8</v>
      </c>
      <c r="J5" s="30">
        <f t="shared" si="0"/>
        <v>49.8</v>
      </c>
      <c r="K5" s="30">
        <f t="shared" si="0"/>
        <v>49.8</v>
      </c>
      <c r="L5" s="30">
        <f t="shared" si="0"/>
        <v>49.8</v>
      </c>
      <c r="M5" s="30">
        <f t="shared" si="0"/>
        <v>49.8</v>
      </c>
    </row>
    <row r="6" spans="1:13" ht="12.75">
      <c r="A6" s="25">
        <v>2</v>
      </c>
      <c r="B6" s="20" t="s">
        <v>682</v>
      </c>
      <c r="C6" s="21" t="s">
        <v>48</v>
      </c>
      <c r="D6" s="21" t="s">
        <v>86</v>
      </c>
      <c r="E6" s="21" t="s">
        <v>65</v>
      </c>
      <c r="F6" s="32">
        <v>3.65</v>
      </c>
      <c r="G6" s="33">
        <v>2014</v>
      </c>
      <c r="I6" s="30">
        <f t="shared" si="0"/>
        <v>3.65</v>
      </c>
      <c r="J6" s="30">
        <f t="shared" si="0"/>
        <v>3.65</v>
      </c>
      <c r="K6" s="30">
        <f t="shared" si="0"/>
        <v>3.65</v>
      </c>
      <c r="L6" s="30">
        <f t="shared" si="0"/>
        <v>3.65</v>
      </c>
      <c r="M6" s="30">
        <f t="shared" si="0"/>
        <v>3.65</v>
      </c>
    </row>
    <row r="7" spans="1:13" ht="12.75">
      <c r="A7" s="25">
        <v>3</v>
      </c>
      <c r="B7" s="20" t="s">
        <v>534</v>
      </c>
      <c r="C7" s="21" t="s">
        <v>49</v>
      </c>
      <c r="D7" s="21" t="s">
        <v>98</v>
      </c>
      <c r="E7" s="26" t="s">
        <v>65</v>
      </c>
      <c r="F7" s="28">
        <v>1.95</v>
      </c>
      <c r="G7" s="29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1.95</v>
      </c>
    </row>
    <row r="8" spans="1:13" ht="12.75">
      <c r="A8" s="25">
        <v>4</v>
      </c>
      <c r="B8" s="20" t="s">
        <v>558</v>
      </c>
      <c r="C8" s="21" t="s">
        <v>51</v>
      </c>
      <c r="D8" s="21" t="s">
        <v>73</v>
      </c>
      <c r="E8" s="21" t="s">
        <v>65</v>
      </c>
      <c r="F8" s="28">
        <v>1.95</v>
      </c>
      <c r="G8" s="29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1.95</v>
      </c>
    </row>
    <row r="9" spans="1:13" ht="12.75">
      <c r="A9" s="25">
        <v>5</v>
      </c>
      <c r="B9" s="20" t="s">
        <v>563</v>
      </c>
      <c r="C9" s="21" t="s">
        <v>46</v>
      </c>
      <c r="D9" s="21" t="s">
        <v>141</v>
      </c>
      <c r="E9" s="21" t="s">
        <v>65</v>
      </c>
      <c r="F9" s="28">
        <v>1.95</v>
      </c>
      <c r="G9" s="29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1.95</v>
      </c>
    </row>
    <row r="10" spans="1:13" ht="12.75">
      <c r="A10" s="25">
        <v>6</v>
      </c>
      <c r="B10" s="20" t="s">
        <v>128</v>
      </c>
      <c r="C10" s="21" t="s">
        <v>51</v>
      </c>
      <c r="D10" s="21" t="s">
        <v>90</v>
      </c>
      <c r="E10" s="26" t="s">
        <v>65</v>
      </c>
      <c r="F10" s="28">
        <v>1.95</v>
      </c>
      <c r="G10" s="29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1.95</v>
      </c>
    </row>
    <row r="11" spans="1:13" ht="12.75">
      <c r="A11" s="25">
        <v>7</v>
      </c>
      <c r="B11" s="20" t="s">
        <v>474</v>
      </c>
      <c r="C11" s="21" t="s">
        <v>52</v>
      </c>
      <c r="D11" s="21" t="s">
        <v>80</v>
      </c>
      <c r="E11" s="21" t="s">
        <v>65</v>
      </c>
      <c r="F11" s="32">
        <v>2.05</v>
      </c>
      <c r="G11" s="33">
        <v>2013</v>
      </c>
      <c r="I11" s="30">
        <f t="shared" si="0"/>
        <v>2.05</v>
      </c>
      <c r="J11" s="30">
        <f t="shared" si="0"/>
        <v>2.05</v>
      </c>
      <c r="K11" s="30">
        <f t="shared" si="0"/>
        <v>2.05</v>
      </c>
      <c r="L11" s="30">
        <f t="shared" si="0"/>
        <v>2.05</v>
      </c>
      <c r="M11" s="30">
        <f t="shared" si="0"/>
        <v>0</v>
      </c>
    </row>
    <row r="12" spans="1:13" ht="12.75">
      <c r="A12" s="25">
        <v>8</v>
      </c>
      <c r="B12" s="20" t="s">
        <v>401</v>
      </c>
      <c r="C12" s="21" t="s">
        <v>51</v>
      </c>
      <c r="D12" s="21" t="s">
        <v>87</v>
      </c>
      <c r="E12" s="21" t="s">
        <v>65</v>
      </c>
      <c r="F12" s="28">
        <v>1.8</v>
      </c>
      <c r="G12" s="29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1.8</v>
      </c>
      <c r="M12" s="30">
        <f t="shared" si="0"/>
        <v>0</v>
      </c>
    </row>
    <row r="13" spans="1:13" ht="12.75">
      <c r="A13" s="25">
        <v>9</v>
      </c>
      <c r="B13" s="20" t="s">
        <v>402</v>
      </c>
      <c r="C13" s="21" t="s">
        <v>48</v>
      </c>
      <c r="D13" s="21" t="s">
        <v>90</v>
      </c>
      <c r="E13" s="21" t="s">
        <v>65</v>
      </c>
      <c r="F13" s="32">
        <v>1.8</v>
      </c>
      <c r="G13" s="33">
        <v>2013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1.8</v>
      </c>
      <c r="M13" s="30">
        <f t="shared" si="0"/>
        <v>0</v>
      </c>
    </row>
    <row r="14" spans="1:13" ht="12.75">
      <c r="A14" s="25">
        <v>10</v>
      </c>
      <c r="B14" s="20" t="s">
        <v>445</v>
      </c>
      <c r="C14" s="21" t="s">
        <v>47</v>
      </c>
      <c r="D14" s="21" t="s">
        <v>99</v>
      </c>
      <c r="E14" s="26" t="s">
        <v>65</v>
      </c>
      <c r="F14" s="28">
        <v>1.8</v>
      </c>
      <c r="G14" s="31">
        <v>2013</v>
      </c>
      <c r="I14" s="30">
        <f t="shared" si="0"/>
        <v>1.8</v>
      </c>
      <c r="J14" s="30">
        <f t="shared" si="0"/>
        <v>1.8</v>
      </c>
      <c r="K14" s="30">
        <f t="shared" si="0"/>
        <v>1.8</v>
      </c>
      <c r="L14" s="30">
        <f t="shared" si="0"/>
        <v>1.8</v>
      </c>
      <c r="M14" s="30">
        <f t="shared" si="0"/>
        <v>0</v>
      </c>
    </row>
    <row r="15" spans="1:13" ht="12.75">
      <c r="A15" s="25">
        <v>11</v>
      </c>
      <c r="B15" s="20" t="s">
        <v>182</v>
      </c>
      <c r="C15" s="21" t="s">
        <v>52</v>
      </c>
      <c r="D15" s="21" t="s">
        <v>75</v>
      </c>
      <c r="E15" s="21" t="s">
        <v>65</v>
      </c>
      <c r="F15" s="28">
        <v>1.8</v>
      </c>
      <c r="G15" s="29">
        <v>2013</v>
      </c>
      <c r="I15" s="30">
        <f aca="true" t="shared" si="1" ref="I15:M29">+IF($G15&gt;=I$3,$F15,0)</f>
        <v>1.8</v>
      </c>
      <c r="J15" s="30">
        <f t="shared" si="1"/>
        <v>1.8</v>
      </c>
      <c r="K15" s="30">
        <f t="shared" si="1"/>
        <v>1.8</v>
      </c>
      <c r="L15" s="30">
        <f t="shared" si="1"/>
        <v>1.8</v>
      </c>
      <c r="M15" s="30">
        <f t="shared" si="1"/>
        <v>0</v>
      </c>
    </row>
    <row r="16" spans="1:13" ht="12.75">
      <c r="A16" s="25">
        <v>12</v>
      </c>
      <c r="B16" s="20" t="s">
        <v>470</v>
      </c>
      <c r="C16" s="21" t="s">
        <v>52</v>
      </c>
      <c r="D16" s="21" t="s">
        <v>103</v>
      </c>
      <c r="E16" s="21" t="s">
        <v>65</v>
      </c>
      <c r="F16" s="28">
        <v>1.8</v>
      </c>
      <c r="G16" s="29">
        <v>2013</v>
      </c>
      <c r="I16" s="30">
        <f t="shared" si="1"/>
        <v>1.8</v>
      </c>
      <c r="J16" s="30">
        <f t="shared" si="1"/>
        <v>1.8</v>
      </c>
      <c r="K16" s="30">
        <f t="shared" si="1"/>
        <v>1.8</v>
      </c>
      <c r="L16" s="30">
        <f t="shared" si="1"/>
        <v>1.8</v>
      </c>
      <c r="M16" s="30">
        <f t="shared" si="1"/>
        <v>0</v>
      </c>
    </row>
    <row r="17" spans="1:13" ht="12.75">
      <c r="A17" s="25">
        <v>13</v>
      </c>
      <c r="B17" s="20" t="s">
        <v>317</v>
      </c>
      <c r="C17" s="21" t="s">
        <v>50</v>
      </c>
      <c r="D17" s="21" t="s">
        <v>124</v>
      </c>
      <c r="E17" s="21" t="s">
        <v>65</v>
      </c>
      <c r="F17" s="28">
        <v>3</v>
      </c>
      <c r="G17" s="29">
        <v>2012</v>
      </c>
      <c r="I17" s="30">
        <f t="shared" si="1"/>
        <v>3</v>
      </c>
      <c r="J17" s="30">
        <f t="shared" si="1"/>
        <v>3</v>
      </c>
      <c r="K17" s="30">
        <f t="shared" si="1"/>
        <v>3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320</v>
      </c>
      <c r="C18" s="21" t="s">
        <v>47</v>
      </c>
      <c r="D18" s="21" t="s">
        <v>120</v>
      </c>
      <c r="E18" s="21" t="s">
        <v>65</v>
      </c>
      <c r="F18" s="28">
        <v>1.65</v>
      </c>
      <c r="G18" s="29">
        <v>2012</v>
      </c>
      <c r="I18" s="30">
        <f t="shared" si="1"/>
        <v>1.65</v>
      </c>
      <c r="J18" s="30">
        <f t="shared" si="1"/>
        <v>1.65</v>
      </c>
      <c r="K18" s="30">
        <f t="shared" si="1"/>
        <v>1.65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414</v>
      </c>
      <c r="C19" s="21" t="s">
        <v>47</v>
      </c>
      <c r="D19" s="21" t="s">
        <v>69</v>
      </c>
      <c r="E19" s="26" t="s">
        <v>65</v>
      </c>
      <c r="F19" s="28">
        <v>35.15</v>
      </c>
      <c r="G19" s="29">
        <v>2011</v>
      </c>
      <c r="I19" s="30">
        <f t="shared" si="1"/>
        <v>35.15</v>
      </c>
      <c r="J19" s="30">
        <f t="shared" si="1"/>
        <v>35.15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323</v>
      </c>
      <c r="C20" s="21" t="s">
        <v>51</v>
      </c>
      <c r="D20" s="21" t="s">
        <v>124</v>
      </c>
      <c r="E20" s="21" t="s">
        <v>65</v>
      </c>
      <c r="F20" s="28">
        <v>3.55</v>
      </c>
      <c r="G20" s="29">
        <v>2011</v>
      </c>
      <c r="I20" s="30">
        <f t="shared" si="1"/>
        <v>3.55</v>
      </c>
      <c r="J20" s="30">
        <f t="shared" si="1"/>
        <v>3.55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324</v>
      </c>
      <c r="C21" s="21" t="s">
        <v>47</v>
      </c>
      <c r="D21" s="21" t="s">
        <v>159</v>
      </c>
      <c r="E21" s="21" t="s">
        <v>65</v>
      </c>
      <c r="F21" s="32">
        <v>3</v>
      </c>
      <c r="G21" s="33">
        <v>2011</v>
      </c>
      <c r="I21" s="30">
        <f t="shared" si="1"/>
        <v>3</v>
      </c>
      <c r="J21" s="30">
        <f t="shared" si="1"/>
        <v>3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326</v>
      </c>
      <c r="C22" s="21" t="s">
        <v>46</v>
      </c>
      <c r="D22" s="21" t="s">
        <v>159</v>
      </c>
      <c r="E22" s="21" t="s">
        <v>65</v>
      </c>
      <c r="F22" s="28">
        <v>1.7</v>
      </c>
      <c r="G22" s="29">
        <v>2011</v>
      </c>
      <c r="I22" s="30">
        <f t="shared" si="1"/>
        <v>1.7</v>
      </c>
      <c r="J22" s="30">
        <f t="shared" si="1"/>
        <v>1.7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327</v>
      </c>
      <c r="C23" s="21" t="s">
        <v>48</v>
      </c>
      <c r="D23" s="21" t="s">
        <v>131</v>
      </c>
      <c r="E23" s="21" t="s">
        <v>65</v>
      </c>
      <c r="F23" s="32">
        <v>1.5</v>
      </c>
      <c r="G23" s="33">
        <v>2011</v>
      </c>
      <c r="I23" s="30">
        <f t="shared" si="1"/>
        <v>1.5</v>
      </c>
      <c r="J23" s="30">
        <f t="shared" si="1"/>
        <v>1.5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587</v>
      </c>
      <c r="C24" s="21" t="s">
        <v>48</v>
      </c>
      <c r="D24" s="21" t="s">
        <v>87</v>
      </c>
      <c r="E24" s="26" t="s">
        <v>65</v>
      </c>
      <c r="F24" s="28">
        <v>21.15</v>
      </c>
      <c r="G24" s="29">
        <v>2010</v>
      </c>
      <c r="I24" s="30">
        <f t="shared" si="1"/>
        <v>21.15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503</v>
      </c>
      <c r="C25" s="21" t="s">
        <v>51</v>
      </c>
      <c r="D25" s="21" t="s">
        <v>97</v>
      </c>
      <c r="E25" s="26" t="s">
        <v>497</v>
      </c>
      <c r="F25" s="28">
        <v>11.9</v>
      </c>
      <c r="G25" s="29">
        <v>2010</v>
      </c>
      <c r="I25" s="30">
        <f t="shared" si="1"/>
        <v>11.9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696</v>
      </c>
      <c r="C26" s="21" t="s">
        <v>48</v>
      </c>
      <c r="D26" s="21" t="s">
        <v>67</v>
      </c>
      <c r="E26" s="21" t="s">
        <v>65</v>
      </c>
      <c r="F26" s="32">
        <v>1.95</v>
      </c>
      <c r="G26" s="33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726</v>
      </c>
      <c r="C27" s="21" t="s">
        <v>47</v>
      </c>
      <c r="D27" s="21" t="s">
        <v>85</v>
      </c>
      <c r="E27" s="21" t="s">
        <v>65</v>
      </c>
      <c r="F27" s="32">
        <v>1.95</v>
      </c>
      <c r="G27" s="33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688</v>
      </c>
      <c r="C28" s="21" t="s">
        <v>48</v>
      </c>
      <c r="D28" s="21" t="s">
        <v>67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224</v>
      </c>
      <c r="C29" s="21" t="s">
        <v>51</v>
      </c>
      <c r="D29" s="21" t="s">
        <v>113</v>
      </c>
      <c r="E29" s="21" t="s">
        <v>65</v>
      </c>
      <c r="F29" s="32">
        <v>1.35</v>
      </c>
      <c r="G29" s="33">
        <v>2010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162.09999999999997</v>
      </c>
      <c r="J31" s="36">
        <f>+SUM(J5:J29)</f>
        <v>121.85</v>
      </c>
      <c r="K31" s="36">
        <f>+SUM(K5:K29)</f>
        <v>76.95</v>
      </c>
      <c r="L31" s="36">
        <f>+SUM(L5:L29)</f>
        <v>72.3</v>
      </c>
      <c r="M31" s="36">
        <f>+SUM(M5:M29)</f>
        <v>61.25000000000001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429</v>
      </c>
      <c r="C37" s="21" t="s">
        <v>49</v>
      </c>
      <c r="D37" s="21" t="s">
        <v>82</v>
      </c>
      <c r="E37" s="26">
        <v>2009</v>
      </c>
      <c r="F37" s="28">
        <v>20.95</v>
      </c>
      <c r="G37" s="29">
        <v>2013</v>
      </c>
      <c r="I37" s="30">
        <f aca="true" t="shared" si="2" ref="I37:I51">+CEILING(IF($I$35=E37,F37,IF($I$35&lt;=G37,F37*0.3,0)),0.05)</f>
        <v>6.300000000000001</v>
      </c>
      <c r="J37" s="30">
        <f aca="true" t="shared" si="3" ref="J37:J51">+CEILING(IF($J$35&lt;=G37,F37*0.3,0),0.05)</f>
        <v>6.300000000000001</v>
      </c>
      <c r="K37" s="30">
        <f aca="true" t="shared" si="4" ref="K37:K51">+CEILING(IF($K$35&lt;=G37,F37*0.3,0),0.05)</f>
        <v>6.300000000000001</v>
      </c>
      <c r="L37" s="30">
        <f aca="true" t="shared" si="5" ref="L37:L51">+CEILING(IF($L$35&lt;=G37,F37*0.3,0),0.05)</f>
        <v>6.300000000000001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472</v>
      </c>
      <c r="C38" s="21" t="s">
        <v>47</v>
      </c>
      <c r="D38" s="21" t="s">
        <v>101</v>
      </c>
      <c r="E38" s="21">
        <v>2010</v>
      </c>
      <c r="F38" s="32">
        <v>1.8</v>
      </c>
      <c r="G38" s="33">
        <v>2013</v>
      </c>
      <c r="I38" s="30">
        <f t="shared" si="2"/>
        <v>1.8</v>
      </c>
      <c r="J38" s="30">
        <f t="shared" si="3"/>
        <v>0.55</v>
      </c>
      <c r="K38" s="30">
        <f t="shared" si="4"/>
        <v>0.55</v>
      </c>
      <c r="L38" s="30">
        <f t="shared" si="5"/>
        <v>0.55</v>
      </c>
      <c r="M38" s="30">
        <f t="shared" si="6"/>
        <v>0</v>
      </c>
    </row>
    <row r="39" spans="1:13" ht="12.75">
      <c r="A39" s="25">
        <v>3</v>
      </c>
      <c r="B39" s="20" t="s">
        <v>318</v>
      </c>
      <c r="C39" s="21" t="s">
        <v>51</v>
      </c>
      <c r="D39" s="21" t="s">
        <v>67</v>
      </c>
      <c r="E39" s="21">
        <v>2009</v>
      </c>
      <c r="F39" s="28">
        <v>1.65</v>
      </c>
      <c r="G39" s="29">
        <v>2012</v>
      </c>
      <c r="I39" s="30">
        <f t="shared" si="2"/>
        <v>0.5</v>
      </c>
      <c r="J39" s="30">
        <f t="shared" si="3"/>
        <v>0.5</v>
      </c>
      <c r="K39" s="30">
        <f t="shared" si="4"/>
        <v>0.5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325</v>
      </c>
      <c r="C40" s="21" t="s">
        <v>51</v>
      </c>
      <c r="D40" s="21" t="s">
        <v>123</v>
      </c>
      <c r="E40" s="21">
        <v>2008</v>
      </c>
      <c r="F40" s="28">
        <v>2.9</v>
      </c>
      <c r="G40" s="29">
        <v>2011</v>
      </c>
      <c r="I40" s="30">
        <f t="shared" si="2"/>
        <v>0.9</v>
      </c>
      <c r="J40" s="30">
        <f t="shared" si="3"/>
        <v>0.9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331</v>
      </c>
      <c r="C41" s="21" t="s">
        <v>52</v>
      </c>
      <c r="D41" s="21" t="s">
        <v>77</v>
      </c>
      <c r="E41" s="21">
        <v>2007</v>
      </c>
      <c r="F41" s="32">
        <v>1.5</v>
      </c>
      <c r="G41" s="33">
        <v>2011</v>
      </c>
      <c r="I41" s="30">
        <f t="shared" si="2"/>
        <v>0.45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328</v>
      </c>
      <c r="C42" s="21" t="s">
        <v>47</v>
      </c>
      <c r="D42" s="21" t="s">
        <v>71</v>
      </c>
      <c r="E42" s="21">
        <v>2010</v>
      </c>
      <c r="F42" s="32">
        <v>59.75</v>
      </c>
      <c r="G42" s="33">
        <v>2010</v>
      </c>
      <c r="I42" s="30">
        <f t="shared" si="2"/>
        <v>59.75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332</v>
      </c>
      <c r="C43" s="21" t="s">
        <v>51</v>
      </c>
      <c r="D43" s="21" t="s">
        <v>132</v>
      </c>
      <c r="E43" s="21">
        <v>2006</v>
      </c>
      <c r="F43" s="32">
        <v>5.5</v>
      </c>
      <c r="G43" s="33">
        <v>2010</v>
      </c>
      <c r="I43" s="30">
        <f t="shared" si="2"/>
        <v>1.6500000000000001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333</v>
      </c>
      <c r="C44" s="21" t="s">
        <v>48</v>
      </c>
      <c r="D44" s="21" t="s">
        <v>101</v>
      </c>
      <c r="E44" s="21">
        <v>2007</v>
      </c>
      <c r="F44" s="32">
        <v>1.35</v>
      </c>
      <c r="G44" s="33">
        <v>2010</v>
      </c>
      <c r="I44" s="30">
        <f t="shared" si="2"/>
        <v>0.45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1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/>
      <c r="D50" s="21"/>
      <c r="E50" s="21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F51" s="32"/>
      <c r="G51" s="33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71.80000000000001</v>
      </c>
      <c r="J53" s="36">
        <f>+SUM(J37:J52)</f>
        <v>8.7</v>
      </c>
      <c r="K53" s="36">
        <f>+SUM(K37:K52)</f>
        <v>7.3500000000000005</v>
      </c>
      <c r="L53" s="36">
        <f>+SUM(L37:L52)</f>
        <v>6.8500000000000005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61" t="s">
        <v>104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105</v>
      </c>
      <c r="C57" s="23"/>
      <c r="D57" s="23"/>
      <c r="E57" s="23"/>
      <c r="F57" s="23" t="s">
        <v>106</v>
      </c>
      <c r="G57" s="23" t="s">
        <v>27</v>
      </c>
      <c r="I57" s="24">
        <f>+I$3</f>
        <v>2010</v>
      </c>
      <c r="J57" s="24">
        <f>+J$3</f>
        <v>2011</v>
      </c>
      <c r="K57" s="24">
        <f>+K$3</f>
        <v>2012</v>
      </c>
      <c r="L57" s="24">
        <f>+L$3</f>
        <v>2013</v>
      </c>
      <c r="M57" s="24">
        <f>+M$3</f>
        <v>2014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9"/>
      <c r="C59" s="59"/>
      <c r="D59" s="59"/>
      <c r="E59" s="59"/>
      <c r="F59" s="27"/>
      <c r="G59" s="33"/>
      <c r="I59" s="39">
        <f>+F59</f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59"/>
      <c r="C60" s="59"/>
      <c r="D60" s="59"/>
      <c r="E60" s="59"/>
      <c r="F60" s="27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C61" s="44"/>
      <c r="F61" s="27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0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591</v>
      </c>
      <c r="C5" s="21" t="s">
        <v>46</v>
      </c>
      <c r="D5" s="21" t="s">
        <v>86</v>
      </c>
      <c r="E5" s="26" t="s">
        <v>65</v>
      </c>
      <c r="F5" s="28">
        <v>37.9</v>
      </c>
      <c r="G5" s="29">
        <v>2014</v>
      </c>
      <c r="I5" s="30">
        <f aca="true" t="shared" si="0" ref="I5:M14">+IF($G5&gt;=I$3,$F5,0)</f>
        <v>37.9</v>
      </c>
      <c r="J5" s="30">
        <f t="shared" si="0"/>
        <v>37.9</v>
      </c>
      <c r="K5" s="30">
        <f t="shared" si="0"/>
        <v>37.9</v>
      </c>
      <c r="L5" s="30">
        <f t="shared" si="0"/>
        <v>37.9</v>
      </c>
      <c r="M5" s="30">
        <f t="shared" si="0"/>
        <v>37.9</v>
      </c>
    </row>
    <row r="6" spans="1:13" ht="12.75">
      <c r="A6" s="25">
        <v>2</v>
      </c>
      <c r="B6" s="20" t="s">
        <v>623</v>
      </c>
      <c r="C6" s="21" t="s">
        <v>46</v>
      </c>
      <c r="D6" s="21" t="s">
        <v>77</v>
      </c>
      <c r="E6" s="26" t="s">
        <v>65</v>
      </c>
      <c r="F6" s="32">
        <v>9</v>
      </c>
      <c r="G6" s="33">
        <v>2014</v>
      </c>
      <c r="I6" s="30">
        <f t="shared" si="0"/>
        <v>9</v>
      </c>
      <c r="J6" s="30">
        <f t="shared" si="0"/>
        <v>9</v>
      </c>
      <c r="K6" s="30">
        <f t="shared" si="0"/>
        <v>9</v>
      </c>
      <c r="L6" s="30">
        <f t="shared" si="0"/>
        <v>9</v>
      </c>
      <c r="M6" s="30">
        <f t="shared" si="0"/>
        <v>9</v>
      </c>
    </row>
    <row r="7" spans="1:13" ht="12.75">
      <c r="A7" s="25">
        <v>3</v>
      </c>
      <c r="B7" s="20" t="s">
        <v>531</v>
      </c>
      <c r="C7" s="21" t="s">
        <v>48</v>
      </c>
      <c r="D7" s="21" t="s">
        <v>100</v>
      </c>
      <c r="E7" s="26" t="s">
        <v>65</v>
      </c>
      <c r="F7" s="32">
        <v>3.4</v>
      </c>
      <c r="G7" s="33">
        <v>2014</v>
      </c>
      <c r="I7" s="30">
        <f t="shared" si="0"/>
        <v>3.4</v>
      </c>
      <c r="J7" s="30">
        <f t="shared" si="0"/>
        <v>3.4</v>
      </c>
      <c r="K7" s="30">
        <f t="shared" si="0"/>
        <v>3.4</v>
      </c>
      <c r="L7" s="30">
        <f t="shared" si="0"/>
        <v>3.4</v>
      </c>
      <c r="M7" s="30">
        <f t="shared" si="0"/>
        <v>3.4</v>
      </c>
    </row>
    <row r="8" spans="1:13" ht="12.75">
      <c r="A8" s="25">
        <v>4</v>
      </c>
      <c r="B8" s="20" t="s">
        <v>658</v>
      </c>
      <c r="C8" s="21" t="s">
        <v>50</v>
      </c>
      <c r="D8" s="21" t="s">
        <v>69</v>
      </c>
      <c r="E8" s="26" t="s">
        <v>65</v>
      </c>
      <c r="F8" s="28">
        <v>2.45</v>
      </c>
      <c r="G8" s="29">
        <v>2014</v>
      </c>
      <c r="I8" s="30">
        <f t="shared" si="0"/>
        <v>2.45</v>
      </c>
      <c r="J8" s="30">
        <f t="shared" si="0"/>
        <v>2.45</v>
      </c>
      <c r="K8" s="30">
        <f t="shared" si="0"/>
        <v>2.45</v>
      </c>
      <c r="L8" s="30">
        <f t="shared" si="0"/>
        <v>2.45</v>
      </c>
      <c r="M8" s="30">
        <f t="shared" si="0"/>
        <v>2.45</v>
      </c>
    </row>
    <row r="9" spans="1:13" ht="12.75">
      <c r="A9" s="25">
        <v>5</v>
      </c>
      <c r="B9" s="20" t="s">
        <v>560</v>
      </c>
      <c r="C9" s="21" t="s">
        <v>52</v>
      </c>
      <c r="D9" s="21" t="s">
        <v>141</v>
      </c>
      <c r="E9" s="26" t="s">
        <v>65</v>
      </c>
      <c r="F9" s="28">
        <v>1.95</v>
      </c>
      <c r="G9" s="33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1.95</v>
      </c>
    </row>
    <row r="10" spans="1:13" ht="12.75">
      <c r="A10" s="25">
        <v>6</v>
      </c>
      <c r="B10" s="20" t="s">
        <v>378</v>
      </c>
      <c r="C10" s="21" t="s">
        <v>48</v>
      </c>
      <c r="D10" s="21" t="s">
        <v>124</v>
      </c>
      <c r="E10" s="26" t="s">
        <v>65</v>
      </c>
      <c r="F10" s="28">
        <v>8.85</v>
      </c>
      <c r="G10" s="29">
        <v>2013</v>
      </c>
      <c r="I10" s="30">
        <f t="shared" si="0"/>
        <v>8.85</v>
      </c>
      <c r="J10" s="30">
        <f t="shared" si="0"/>
        <v>8.85</v>
      </c>
      <c r="K10" s="30">
        <f t="shared" si="0"/>
        <v>8.85</v>
      </c>
      <c r="L10" s="30">
        <f t="shared" si="0"/>
        <v>8.85</v>
      </c>
      <c r="M10" s="30">
        <f t="shared" si="0"/>
        <v>0</v>
      </c>
    </row>
    <row r="11" spans="1:13" ht="12.75">
      <c r="A11" s="25">
        <v>7</v>
      </c>
      <c r="B11" s="20" t="s">
        <v>379</v>
      </c>
      <c r="C11" s="21" t="s">
        <v>51</v>
      </c>
      <c r="D11" s="21" t="s">
        <v>67</v>
      </c>
      <c r="E11" s="26" t="s">
        <v>65</v>
      </c>
      <c r="F11" s="28">
        <v>1.8</v>
      </c>
      <c r="G11" s="29">
        <v>2013</v>
      </c>
      <c r="I11" s="30">
        <f t="shared" si="0"/>
        <v>1.8</v>
      </c>
      <c r="J11" s="30">
        <f t="shared" si="0"/>
        <v>1.8</v>
      </c>
      <c r="K11" s="30">
        <f t="shared" si="0"/>
        <v>1.8</v>
      </c>
      <c r="L11" s="30">
        <f t="shared" si="0"/>
        <v>1.8</v>
      </c>
      <c r="M11" s="30">
        <f t="shared" si="0"/>
        <v>0</v>
      </c>
    </row>
    <row r="12" spans="1:13" ht="12.75">
      <c r="A12" s="25">
        <v>8</v>
      </c>
      <c r="B12" s="20" t="s">
        <v>380</v>
      </c>
      <c r="C12" s="21" t="s">
        <v>51</v>
      </c>
      <c r="D12" s="21" t="s">
        <v>92</v>
      </c>
      <c r="E12" s="26" t="s">
        <v>65</v>
      </c>
      <c r="F12" s="28">
        <v>1.8</v>
      </c>
      <c r="G12" s="29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1.8</v>
      </c>
      <c r="M12" s="30">
        <f t="shared" si="0"/>
        <v>0</v>
      </c>
    </row>
    <row r="13" spans="1:13" ht="12.75">
      <c r="A13" s="25">
        <v>9</v>
      </c>
      <c r="B13" s="20" t="s">
        <v>460</v>
      </c>
      <c r="C13" s="21" t="s">
        <v>52</v>
      </c>
      <c r="D13" s="21" t="s">
        <v>90</v>
      </c>
      <c r="E13" s="26" t="s">
        <v>65</v>
      </c>
      <c r="F13" s="28">
        <v>1.8</v>
      </c>
      <c r="G13" s="29">
        <v>2013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1.8</v>
      </c>
      <c r="M13" s="30">
        <f t="shared" si="0"/>
        <v>0</v>
      </c>
    </row>
    <row r="14" spans="1:13" ht="12.75">
      <c r="A14" s="25">
        <v>10</v>
      </c>
      <c r="B14" s="20" t="s">
        <v>465</v>
      </c>
      <c r="C14" s="21" t="s">
        <v>51</v>
      </c>
      <c r="D14" s="21" t="s">
        <v>71</v>
      </c>
      <c r="E14" s="26" t="s">
        <v>65</v>
      </c>
      <c r="F14" s="28">
        <v>1.8</v>
      </c>
      <c r="G14" s="29">
        <v>2013</v>
      </c>
      <c r="I14" s="30">
        <f t="shared" si="0"/>
        <v>1.8</v>
      </c>
      <c r="J14" s="30">
        <f t="shared" si="0"/>
        <v>1.8</v>
      </c>
      <c r="K14" s="30">
        <f t="shared" si="0"/>
        <v>1.8</v>
      </c>
      <c r="L14" s="30">
        <f t="shared" si="0"/>
        <v>1.8</v>
      </c>
      <c r="M14" s="30">
        <f t="shared" si="0"/>
        <v>0</v>
      </c>
    </row>
    <row r="15" spans="1:13" ht="12.75">
      <c r="A15" s="25">
        <v>11</v>
      </c>
      <c r="B15" s="20" t="s">
        <v>341</v>
      </c>
      <c r="C15" s="21" t="s">
        <v>48</v>
      </c>
      <c r="D15" s="21" t="s">
        <v>159</v>
      </c>
      <c r="E15" s="21" t="s">
        <v>65</v>
      </c>
      <c r="F15" s="32">
        <v>32.1</v>
      </c>
      <c r="G15" s="33">
        <v>2012</v>
      </c>
      <c r="I15" s="30">
        <f aca="true" t="shared" si="1" ref="I15:M29">+IF($G15&gt;=I$3,$F15,0)</f>
        <v>32.1</v>
      </c>
      <c r="J15" s="30">
        <f t="shared" si="1"/>
        <v>32.1</v>
      </c>
      <c r="K15" s="30">
        <f t="shared" si="1"/>
        <v>32.1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645</v>
      </c>
      <c r="C16" s="21" t="s">
        <v>48</v>
      </c>
      <c r="D16" s="21" t="s">
        <v>77</v>
      </c>
      <c r="E16" s="26" t="s">
        <v>65</v>
      </c>
      <c r="F16" s="28">
        <v>13.45</v>
      </c>
      <c r="G16" s="29">
        <v>2012</v>
      </c>
      <c r="I16" s="30">
        <f t="shared" si="1"/>
        <v>13.45</v>
      </c>
      <c r="J16" s="30">
        <f t="shared" si="1"/>
        <v>13.45</v>
      </c>
      <c r="K16" s="30">
        <f t="shared" si="1"/>
        <v>13.45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134</v>
      </c>
      <c r="C17" s="21" t="s">
        <v>47</v>
      </c>
      <c r="D17" s="21" t="s">
        <v>89</v>
      </c>
      <c r="E17" s="26" t="s">
        <v>65</v>
      </c>
      <c r="F17" s="32">
        <v>3.65</v>
      </c>
      <c r="G17" s="33">
        <v>2012</v>
      </c>
      <c r="I17" s="30">
        <f t="shared" si="1"/>
        <v>3.65</v>
      </c>
      <c r="J17" s="30">
        <f t="shared" si="1"/>
        <v>3.65</v>
      </c>
      <c r="K17" s="30">
        <f t="shared" si="1"/>
        <v>3.65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336</v>
      </c>
      <c r="C18" s="21" t="s">
        <v>47</v>
      </c>
      <c r="D18" s="21" t="s">
        <v>97</v>
      </c>
      <c r="E18" s="26" t="s">
        <v>65</v>
      </c>
      <c r="F18" s="32">
        <v>1.65</v>
      </c>
      <c r="G18" s="33">
        <v>2012</v>
      </c>
      <c r="I18" s="30">
        <f t="shared" si="1"/>
        <v>1.65</v>
      </c>
      <c r="J18" s="30">
        <f t="shared" si="1"/>
        <v>1.65</v>
      </c>
      <c r="K18" s="30">
        <f t="shared" si="1"/>
        <v>1.65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540</v>
      </c>
      <c r="C19" s="21" t="s">
        <v>47</v>
      </c>
      <c r="D19" s="21" t="s">
        <v>97</v>
      </c>
      <c r="E19" s="21" t="s">
        <v>65</v>
      </c>
      <c r="F19" s="28">
        <v>37.3</v>
      </c>
      <c r="G19" s="29">
        <v>2011</v>
      </c>
      <c r="I19" s="30">
        <f t="shared" si="1"/>
        <v>37.3</v>
      </c>
      <c r="J19" s="30">
        <f t="shared" si="1"/>
        <v>37.3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410</v>
      </c>
      <c r="C20" s="21" t="s">
        <v>51</v>
      </c>
      <c r="D20" s="21" t="s">
        <v>120</v>
      </c>
      <c r="E20" s="26" t="s">
        <v>65</v>
      </c>
      <c r="F20" s="28">
        <v>9.15</v>
      </c>
      <c r="G20" s="29">
        <v>2011</v>
      </c>
      <c r="I20" s="30">
        <f t="shared" si="1"/>
        <v>9.15</v>
      </c>
      <c r="J20" s="30">
        <f t="shared" si="1"/>
        <v>9.15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411</v>
      </c>
      <c r="C21" s="21" t="s">
        <v>52</v>
      </c>
      <c r="D21" s="21" t="s">
        <v>71</v>
      </c>
      <c r="E21" s="26" t="s">
        <v>65</v>
      </c>
      <c r="F21" s="28">
        <v>2.95</v>
      </c>
      <c r="G21" s="29">
        <v>2011</v>
      </c>
      <c r="I21" s="30">
        <f t="shared" si="1"/>
        <v>2.95</v>
      </c>
      <c r="J21" s="30">
        <f t="shared" si="1"/>
        <v>2.95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314</v>
      </c>
      <c r="C22" s="21" t="s">
        <v>49</v>
      </c>
      <c r="D22" s="21" t="s">
        <v>64</v>
      </c>
      <c r="E22" s="26" t="s">
        <v>65</v>
      </c>
      <c r="F22" s="28">
        <v>1.8</v>
      </c>
      <c r="G22" s="29">
        <v>2011</v>
      </c>
      <c r="I22" s="30">
        <f t="shared" si="1"/>
        <v>1.8</v>
      </c>
      <c r="J22" s="30">
        <f t="shared" si="1"/>
        <v>1.8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162</v>
      </c>
      <c r="C23" s="21" t="s">
        <v>49</v>
      </c>
      <c r="D23" s="21" t="s">
        <v>103</v>
      </c>
      <c r="E23" s="26" t="s">
        <v>65</v>
      </c>
      <c r="F23" s="28">
        <v>1.5</v>
      </c>
      <c r="G23" s="31">
        <v>2011</v>
      </c>
      <c r="I23" s="30">
        <f t="shared" si="1"/>
        <v>1.5</v>
      </c>
      <c r="J23" s="30">
        <f t="shared" si="1"/>
        <v>1.5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2" t="s">
        <v>176</v>
      </c>
      <c r="C24" s="21" t="s">
        <v>51</v>
      </c>
      <c r="D24" s="21" t="s">
        <v>159</v>
      </c>
      <c r="E24" s="26" t="s">
        <v>65</v>
      </c>
      <c r="F24" s="28">
        <v>1.5</v>
      </c>
      <c r="G24" s="29">
        <v>2011</v>
      </c>
      <c r="I24" s="30">
        <f t="shared" si="1"/>
        <v>1.5</v>
      </c>
      <c r="J24" s="30">
        <f t="shared" si="1"/>
        <v>1.5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622</v>
      </c>
      <c r="C25" s="21" t="s">
        <v>48</v>
      </c>
      <c r="D25" s="21" t="s">
        <v>69</v>
      </c>
      <c r="E25" s="26" t="s">
        <v>65</v>
      </c>
      <c r="F25" s="28">
        <v>9.75</v>
      </c>
      <c r="G25" s="29">
        <v>2010</v>
      </c>
      <c r="I25" s="30">
        <f t="shared" si="1"/>
        <v>9.75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272</v>
      </c>
      <c r="C26" s="21" t="s">
        <v>47</v>
      </c>
      <c r="D26" s="21" t="s">
        <v>75</v>
      </c>
      <c r="E26" s="21" t="s">
        <v>65</v>
      </c>
      <c r="F26" s="28">
        <v>9.35</v>
      </c>
      <c r="G26" s="29">
        <v>2010</v>
      </c>
      <c r="I26" s="30">
        <f t="shared" si="1"/>
        <v>9.35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34" t="s">
        <v>309</v>
      </c>
      <c r="C27" s="21" t="s">
        <v>50</v>
      </c>
      <c r="D27" s="21" t="s">
        <v>103</v>
      </c>
      <c r="E27" s="26" t="s">
        <v>65</v>
      </c>
      <c r="F27" s="28">
        <v>4.8</v>
      </c>
      <c r="G27" s="29">
        <v>2010</v>
      </c>
      <c r="I27" s="30">
        <f t="shared" si="1"/>
        <v>4.8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756</v>
      </c>
      <c r="C28" s="21" t="s">
        <v>51</v>
      </c>
      <c r="D28" s="21" t="s">
        <v>97</v>
      </c>
      <c r="E28" s="26" t="s">
        <v>65</v>
      </c>
      <c r="F28" s="32">
        <v>1.95</v>
      </c>
      <c r="G28" s="33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47" t="s">
        <v>755</v>
      </c>
      <c r="C29" s="51" t="s">
        <v>48</v>
      </c>
      <c r="D29" s="51" t="s">
        <v>132</v>
      </c>
      <c r="E29" s="54" t="s">
        <v>65</v>
      </c>
      <c r="F29" s="55">
        <v>1.95</v>
      </c>
      <c r="G29" s="57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D31" s="21"/>
      <c r="E31" s="26"/>
      <c r="F31" s="28"/>
      <c r="G31" s="29"/>
      <c r="I31" s="36">
        <f>+SUM(I5:I29)</f>
        <v>203.6</v>
      </c>
      <c r="J31" s="36">
        <f>+SUM(J5:J29)</f>
        <v>175.8</v>
      </c>
      <c r="K31" s="36">
        <f>+SUM(K5:K29)</f>
        <v>121.60000000000001</v>
      </c>
      <c r="L31" s="36">
        <f>+SUM(L5:L29)</f>
        <v>70.75</v>
      </c>
      <c r="M31" s="36">
        <f>+SUM(M5:M29)</f>
        <v>54.7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13" ht="7.5" customHeight="1">
      <c r="B36" s="22"/>
      <c r="C36" s="24"/>
      <c r="E36" s="24"/>
      <c r="F36" s="24"/>
      <c r="I36" s="40"/>
      <c r="J36" s="40"/>
      <c r="K36" s="40"/>
      <c r="L36" s="40"/>
      <c r="M36" s="40"/>
    </row>
    <row r="37" spans="1:13" ht="12.75">
      <c r="A37" s="25">
        <v>1</v>
      </c>
      <c r="B37" s="20" t="s">
        <v>450</v>
      </c>
      <c r="C37" s="21" t="s">
        <v>51</v>
      </c>
      <c r="D37" s="21" t="s">
        <v>71</v>
      </c>
      <c r="E37" s="26">
        <v>2010</v>
      </c>
      <c r="F37" s="32">
        <v>1.8</v>
      </c>
      <c r="G37" s="33">
        <v>2011</v>
      </c>
      <c r="I37" s="30">
        <f aca="true" t="shared" si="2" ref="I37:I50">+CEILING(IF($I$35=E37,F37,IF($I$35&lt;=G37,F37*0.3,0)),0.05)</f>
        <v>1.8</v>
      </c>
      <c r="J37" s="30">
        <f aca="true" t="shared" si="3" ref="J37:J50">+CEILING(IF($J$35&lt;=G37,F37*0.3,0),0.05)</f>
        <v>0.55</v>
      </c>
      <c r="K37" s="30">
        <f aca="true" t="shared" si="4" ref="K37:K50">+CEILING(IF($K$35&lt;=G37,F37*0.3,0),0.05)</f>
        <v>0</v>
      </c>
      <c r="L37" s="30">
        <f aca="true" t="shared" si="5" ref="L37:L50">+CEILING(IF($L$35&lt;=G37,F37*0.3,0),0.05)</f>
        <v>0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20" t="s">
        <v>340</v>
      </c>
      <c r="C38" s="21" t="s">
        <v>47</v>
      </c>
      <c r="D38" s="21" t="s">
        <v>159</v>
      </c>
      <c r="E38" s="26">
        <v>2008</v>
      </c>
      <c r="F38" s="32">
        <v>1.5</v>
      </c>
      <c r="G38" s="33">
        <v>2011</v>
      </c>
      <c r="I38" s="30">
        <f t="shared" si="2"/>
        <v>0.45</v>
      </c>
      <c r="J38" s="30">
        <f t="shared" si="3"/>
        <v>0.45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7" t="s">
        <v>541</v>
      </c>
      <c r="C39" s="51" t="s">
        <v>50</v>
      </c>
      <c r="D39" s="51" t="s">
        <v>89</v>
      </c>
      <c r="E39" s="54">
        <v>2010</v>
      </c>
      <c r="F39" s="55">
        <v>2.2</v>
      </c>
      <c r="G39" s="57">
        <v>2010</v>
      </c>
      <c r="I39" s="30">
        <f t="shared" si="2"/>
        <v>2.2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/>
      <c r="D40" s="21"/>
      <c r="E40" s="26"/>
      <c r="F40" s="28"/>
      <c r="G40" s="29"/>
      <c r="I40" s="30">
        <f t="shared" si="2"/>
        <v>0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D41" s="21"/>
      <c r="E41" s="21"/>
      <c r="F41" s="32"/>
      <c r="G41" s="33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D42" s="21"/>
      <c r="E42" s="21"/>
      <c r="F42" s="32"/>
      <c r="G42" s="33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31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6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D50" s="21"/>
      <c r="E50" s="21"/>
      <c r="F50" s="32"/>
      <c r="G50" s="33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4.45</v>
      </c>
      <c r="J52" s="36">
        <f>+SUM(J37:J51)</f>
        <v>1</v>
      </c>
      <c r="K52" s="36">
        <f>+SUM(K37:K51)</f>
        <v>0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61" t="s">
        <v>104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105</v>
      </c>
      <c r="C56" s="23"/>
      <c r="D56" s="23"/>
      <c r="E56" s="23"/>
      <c r="F56" s="23" t="s">
        <v>106</v>
      </c>
      <c r="G56" s="23" t="s">
        <v>27</v>
      </c>
      <c r="I56" s="24">
        <f>+I$3</f>
        <v>2010</v>
      </c>
      <c r="J56" s="24">
        <f>+J$3</f>
        <v>2011</v>
      </c>
      <c r="K56" s="24">
        <f>+K$3</f>
        <v>2012</v>
      </c>
      <c r="L56" s="24">
        <f>+L$3</f>
        <v>2013</v>
      </c>
      <c r="M56" s="24">
        <f>+M$3</f>
        <v>2014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9" t="s">
        <v>501</v>
      </c>
      <c r="C58" s="59"/>
      <c r="D58" s="59"/>
      <c r="E58" s="59"/>
      <c r="F58" s="27">
        <v>-4.55</v>
      </c>
      <c r="G58" s="21">
        <v>2010</v>
      </c>
      <c r="I58" s="39">
        <f>F58</f>
        <v>-4.55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9" t="s">
        <v>501</v>
      </c>
      <c r="C59" s="59"/>
      <c r="D59" s="59"/>
      <c r="E59" s="59"/>
      <c r="F59" s="27">
        <v>-3</v>
      </c>
      <c r="G59" s="21">
        <v>2011</v>
      </c>
      <c r="I59" s="39">
        <v>0</v>
      </c>
      <c r="J59" s="39">
        <f>F59</f>
        <v>-3</v>
      </c>
      <c r="K59" s="39">
        <v>0</v>
      </c>
      <c r="L59" s="39">
        <v>0</v>
      </c>
      <c r="M59" s="39">
        <v>0</v>
      </c>
    </row>
    <row r="60" spans="1:13" ht="12.75">
      <c r="A60" s="25">
        <v>3</v>
      </c>
      <c r="B60" s="59" t="s">
        <v>737</v>
      </c>
      <c r="C60" s="59"/>
      <c r="D60" s="59"/>
      <c r="E60" s="59"/>
      <c r="F60" s="27">
        <v>-10</v>
      </c>
      <c r="G60" s="21">
        <v>2010</v>
      </c>
      <c r="I60" s="39">
        <f>F60</f>
        <v>-10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4</v>
      </c>
      <c r="B61" s="59" t="s">
        <v>737</v>
      </c>
      <c r="C61" s="59"/>
      <c r="D61" s="59"/>
      <c r="E61" s="59"/>
      <c r="F61" s="27">
        <v>-5</v>
      </c>
      <c r="G61" s="21">
        <v>2011</v>
      </c>
      <c r="I61" s="39">
        <v>0</v>
      </c>
      <c r="J61" s="39">
        <f>F61</f>
        <v>-5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+SUM(I58:I62)</f>
        <v>-14.55</v>
      </c>
      <c r="J63" s="35">
        <f>+SUM(J58:J62)</f>
        <v>-8</v>
      </c>
      <c r="K63" s="35">
        <f>+SUM(K58:K62)</f>
        <v>0</v>
      </c>
      <c r="L63" s="35">
        <f>+SUM(L58:L62)</f>
        <v>0</v>
      </c>
      <c r="M63" s="35">
        <f>+SUM(M58:M62)</f>
        <v>0</v>
      </c>
    </row>
  </sheetData>
  <sheetProtection/>
  <mergeCells count="7">
    <mergeCell ref="B60:E60"/>
    <mergeCell ref="B61:E61"/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Z3" sqref="Z3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3" width="4.7109375" style="0" customWidth="1"/>
    <col min="4" max="4" width="6.7109375" style="0" customWidth="1"/>
    <col min="5" max="5" width="0.85546875" style="0" customWidth="1"/>
    <col min="6" max="6" width="4.7109375" style="0" customWidth="1"/>
    <col min="7" max="7" width="6.7109375" style="0" customWidth="1"/>
    <col min="8" max="8" width="0.85546875" style="0" customWidth="1"/>
    <col min="9" max="9" width="4.7109375" style="0" customWidth="1"/>
    <col min="10" max="10" width="6.7109375" style="0" customWidth="1"/>
    <col min="11" max="11" width="0.85546875" style="0" customWidth="1"/>
    <col min="12" max="12" width="4.7109375" style="0" customWidth="1"/>
    <col min="13" max="13" width="6.7109375" style="0" customWidth="1"/>
    <col min="14" max="14" width="0.85546875" style="0" customWidth="1"/>
    <col min="15" max="15" width="4.7109375" style="0" customWidth="1"/>
    <col min="16" max="16" width="6.7109375" style="0" customWidth="1"/>
    <col min="17" max="17" width="0.85546875" style="0" customWidth="1"/>
    <col min="18" max="18" width="4.7109375" style="0" customWidth="1"/>
    <col min="19" max="19" width="6.7109375" style="0" customWidth="1"/>
    <col min="20" max="20" width="0.85546875" style="0" customWidth="1"/>
    <col min="21" max="21" width="4.7109375" style="0" customWidth="1"/>
    <col min="22" max="22" width="6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6.7109375" style="0" customWidth="1"/>
    <col min="27" max="27" width="1.7109375" style="0" customWidth="1"/>
    <col min="28" max="28" width="7.7109375" style="0" customWidth="1"/>
  </cols>
  <sheetData>
    <row r="1" spans="1:28" ht="18.75">
      <c r="A1" s="1" t="s">
        <v>685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3:28" s="3" customFormat="1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5"/>
      <c r="T2" s="5"/>
      <c r="U2" s="4"/>
      <c r="V2" s="4"/>
      <c r="W2" s="5"/>
      <c r="X2" s="6"/>
      <c r="Y2" s="6"/>
      <c r="Z2" s="6"/>
      <c r="AA2" s="6"/>
      <c r="AB2" s="5"/>
    </row>
    <row r="3" spans="1:28" s="7" customFormat="1" ht="15">
      <c r="A3" s="8" t="s">
        <v>1</v>
      </c>
      <c r="C3" s="58" t="s">
        <v>46</v>
      </c>
      <c r="D3" s="58"/>
      <c r="E3" s="9"/>
      <c r="F3" s="58" t="s">
        <v>47</v>
      </c>
      <c r="G3" s="58"/>
      <c r="H3" s="9"/>
      <c r="I3" s="58" t="s">
        <v>48</v>
      </c>
      <c r="J3" s="58"/>
      <c r="K3" s="9"/>
      <c r="L3" s="58" t="s">
        <v>49</v>
      </c>
      <c r="M3" s="58"/>
      <c r="N3" s="9"/>
      <c r="O3" s="58" t="s">
        <v>50</v>
      </c>
      <c r="P3" s="58"/>
      <c r="Q3" s="9"/>
      <c r="R3" s="58" t="s">
        <v>51</v>
      </c>
      <c r="S3" s="58"/>
      <c r="T3" s="9"/>
      <c r="U3" s="58" t="s">
        <v>52</v>
      </c>
      <c r="V3" s="58"/>
      <c r="W3" s="10"/>
      <c r="X3" s="9" t="s">
        <v>53</v>
      </c>
      <c r="Y3" s="9"/>
      <c r="Z3" s="9" t="s">
        <v>54</v>
      </c>
      <c r="AA3" s="9"/>
      <c r="AB3" s="9" t="s">
        <v>10</v>
      </c>
    </row>
    <row r="4" s="3" customFormat="1" ht="7.5" customHeight="1"/>
    <row r="5" spans="1:28" s="7" customFormat="1" ht="15" customHeight="1">
      <c r="A5" s="11" t="s">
        <v>11</v>
      </c>
      <c r="C5" s="17">
        <f>+COUNTIF(Fernald!$C$5:$C$29,"=qb")</f>
        <v>3</v>
      </c>
      <c r="D5" s="15">
        <f>SUMIF(Fernald!$C$5:$C$29,"QB",Fernald!$F$5:$F$29)</f>
        <v>47.650000000000006</v>
      </c>
      <c r="E5" s="12"/>
      <c r="F5" s="17">
        <f>+COUNTIF(Fernald!$C$5:$C$29,"=rb")</f>
        <v>4</v>
      </c>
      <c r="G5" s="15">
        <f>SUMIF(Fernald!$C$5:$C$29,"rb",Fernald!$F$5:$F$29)</f>
        <v>26.2</v>
      </c>
      <c r="H5" s="12"/>
      <c r="I5" s="17">
        <f>+COUNTIF(Fernald!$C$5:$C$29,"=wr")</f>
        <v>7</v>
      </c>
      <c r="J5" s="15">
        <f>SUMIF(Fernald!$C$5:$C$29,"wr",Fernald!$F$5:$F$29)</f>
        <v>74.55</v>
      </c>
      <c r="K5" s="12"/>
      <c r="L5" s="17">
        <f>+COUNTIF(Fernald!$C$5:$C$29,"=te")</f>
        <v>2</v>
      </c>
      <c r="M5" s="15">
        <f>SUMIF(Fernald!$C$5:$C$29,"te",Fernald!$F$5:$F$29)</f>
        <v>21.35</v>
      </c>
      <c r="N5" s="12"/>
      <c r="O5" s="17">
        <f>+COUNTIF(Fernald!$C$5:$C$29,"=k")</f>
        <v>1</v>
      </c>
      <c r="P5" s="15">
        <f>SUMIF(Fernald!$C$5:$C$29,"k",Fernald!$F$5:$F$29)</f>
        <v>2.65</v>
      </c>
      <c r="Q5" s="12"/>
      <c r="R5" s="17">
        <f>+COUNTIF(Fernald!$C$5:$C$29,"=dl")</f>
        <v>4</v>
      </c>
      <c r="S5" s="15">
        <f>SUMIF(Fernald!$C$5:$C$29,"dl",Fernald!$F$5:$F$29)</f>
        <v>9.8</v>
      </c>
      <c r="T5" s="13"/>
      <c r="U5" s="17">
        <f>+COUNTIF(Fernald!$C$5:$C$29,"=db")</f>
        <v>3</v>
      </c>
      <c r="V5" s="15">
        <f>SUMIF(Fernald!$C$5:$C$29,"db",Fernald!$F$5:$F$29)</f>
        <v>12.899999999999999</v>
      </c>
      <c r="W5" s="13"/>
      <c r="X5" s="15">
        <f aca="true" t="shared" si="0" ref="X5:X24">D5+G5+J5+M5+P5</f>
        <v>172.4</v>
      </c>
      <c r="Y5" s="12"/>
      <c r="Z5" s="15">
        <f aca="true" t="shared" si="1" ref="Z5:Z24">+S5+V5</f>
        <v>22.7</v>
      </c>
      <c r="AA5" s="12"/>
      <c r="AB5" s="15">
        <f aca="true" t="shared" si="2" ref="AB5:AB24">+X5+Z5</f>
        <v>195.1</v>
      </c>
    </row>
    <row r="6" spans="1:28" s="7" customFormat="1" ht="15" customHeight="1">
      <c r="A6" s="11" t="s">
        <v>19</v>
      </c>
      <c r="C6" s="17">
        <f>+COUNTIF('Boyd A'!$C$5:$C$29,"=qb")</f>
        <v>2</v>
      </c>
      <c r="D6" s="15">
        <f>SUMIF('Boyd A'!$C$5:$C$29,"QB",'Boyd A'!$F$5:$F$29)</f>
        <v>5.8</v>
      </c>
      <c r="E6" s="12"/>
      <c r="F6" s="17">
        <f>+COUNTIF('Boyd A'!$C$5:$C$29,"=rb")</f>
        <v>3</v>
      </c>
      <c r="G6" s="15">
        <f>SUMIF('Boyd A'!$C$5:$C$29,"rb",'Boyd A'!$F$5:$F$29)</f>
        <v>33.05</v>
      </c>
      <c r="H6" s="12"/>
      <c r="I6" s="17">
        <f>+COUNTIF('Boyd A'!$C$5:$C$29,"=wr")</f>
        <v>9</v>
      </c>
      <c r="J6" s="15">
        <f>SUMIF('Boyd A'!$C$5:$C$29,"wr",'Boyd A'!$F$5:$F$29)</f>
        <v>103.65</v>
      </c>
      <c r="K6" s="12"/>
      <c r="L6" s="17">
        <f>+COUNTIF('Boyd A'!$C$5:$C$29,"=te")</f>
        <v>2</v>
      </c>
      <c r="M6" s="15">
        <f>SUMIF('Boyd A'!$C$5:$C$29,"te",'Boyd A'!$F$5:$F$29)</f>
        <v>42.45</v>
      </c>
      <c r="N6" s="12"/>
      <c r="O6" s="17">
        <f>+COUNTIF('Boyd A'!$C$5:$C$29,"=k")</f>
        <v>1</v>
      </c>
      <c r="P6" s="15">
        <f>SUMIF('Boyd A'!$C$5:$C$29,"k",'Boyd A'!$F$5:$F$29)</f>
        <v>1.95</v>
      </c>
      <c r="Q6" s="12"/>
      <c r="R6" s="17">
        <f>+COUNTIF('Boyd A'!$C$5:$C$29,"=dl")</f>
        <v>5</v>
      </c>
      <c r="S6" s="15">
        <f>SUMIF('Boyd A'!$C$5:$C$29,"dl",'Boyd A'!$F$5:$F$29)</f>
        <v>24.150000000000002</v>
      </c>
      <c r="T6" s="13"/>
      <c r="U6" s="17">
        <f>+COUNTIF('Boyd A'!$C$5:$C$29,"=db")</f>
        <v>3</v>
      </c>
      <c r="V6" s="15">
        <f>SUMIF('Boyd A'!$C$5:$C$29,"db",'Boyd A'!$F$5:$F$29)</f>
        <v>10</v>
      </c>
      <c r="W6" s="13"/>
      <c r="X6" s="15">
        <f t="shared" si="0"/>
        <v>186.89999999999998</v>
      </c>
      <c r="Y6" s="12"/>
      <c r="Z6" s="15">
        <f t="shared" si="1"/>
        <v>34.150000000000006</v>
      </c>
      <c r="AA6" s="12"/>
      <c r="AB6" s="15">
        <f t="shared" si="2"/>
        <v>221.04999999999998</v>
      </c>
    </row>
    <row r="7" spans="1:28" s="7" customFormat="1" ht="15" customHeight="1">
      <c r="A7" s="11" t="s">
        <v>15</v>
      </c>
      <c r="C7" s="17">
        <f>+COUNTIF(Krenz!$C$5:$C$29,"=qb")</f>
        <v>3</v>
      </c>
      <c r="D7" s="15">
        <f>SUMIF(Krenz!$C$5:$C$29,"QB",Krenz!$F$5:$F$29)</f>
        <v>59.900000000000006</v>
      </c>
      <c r="E7" s="12"/>
      <c r="F7" s="17">
        <f>+COUNTIF(Krenz!$C$5:$C$29,"=rb")</f>
        <v>5</v>
      </c>
      <c r="G7" s="15">
        <f>SUMIF(Krenz!$C$5:$C$29,"rb",Krenz!$F$5:$F$29)</f>
        <v>38.650000000000006</v>
      </c>
      <c r="H7" s="12"/>
      <c r="I7" s="17">
        <f>+COUNTIF(Krenz!$C$5:$C$29,"=wr")</f>
        <v>6</v>
      </c>
      <c r="J7" s="15">
        <f>SUMIF(Krenz!$C$5:$C$29,"wr",Krenz!$F$5:$F$29)</f>
        <v>78.7</v>
      </c>
      <c r="K7" s="12"/>
      <c r="L7" s="17">
        <f>+COUNTIF(Krenz!$C$5:$C$29,"=te")</f>
        <v>2</v>
      </c>
      <c r="M7" s="15">
        <f>SUMIF(Krenz!$C$5:$C$29,"te",Krenz!$F$5:$F$29)</f>
        <v>8.6</v>
      </c>
      <c r="N7" s="12"/>
      <c r="O7" s="17">
        <f>+COUNTIF(Krenz!$C$5:$C$29,"=k")</f>
        <v>2</v>
      </c>
      <c r="P7" s="15">
        <f>SUMIF(Krenz!$C$5:$C$29,"k",Krenz!$F$5:$F$29)</f>
        <v>6.65</v>
      </c>
      <c r="Q7" s="12"/>
      <c r="R7" s="17">
        <f>+COUNTIF(Krenz!$C$5:$C$29,"=dl")</f>
        <v>4</v>
      </c>
      <c r="S7" s="15">
        <f>SUMIF(Krenz!$C$5:$C$29,"dl",Krenz!$F$5:$F$29)</f>
        <v>17.65</v>
      </c>
      <c r="T7" s="13"/>
      <c r="U7" s="17">
        <f>+COUNTIF(Krenz!$C$5:$C$29,"=db")</f>
        <v>3</v>
      </c>
      <c r="V7" s="15">
        <f>SUMIF(Krenz!$C$5:$C$29,"db",Krenz!$F$5:$F$29)</f>
        <v>8</v>
      </c>
      <c r="W7" s="13"/>
      <c r="X7" s="15">
        <f t="shared" si="0"/>
        <v>192.5</v>
      </c>
      <c r="Y7" s="12"/>
      <c r="Z7" s="15">
        <f t="shared" si="1"/>
        <v>25.65</v>
      </c>
      <c r="AA7" s="12"/>
      <c r="AB7" s="15">
        <f t="shared" si="2"/>
        <v>218.15</v>
      </c>
    </row>
    <row r="8" spans="1:28" s="7" customFormat="1" ht="15" customHeight="1">
      <c r="A8" s="11" t="s">
        <v>18</v>
      </c>
      <c r="B8" s="11"/>
      <c r="C8" s="17">
        <f>+COUNTIF(Rittenhouse!$C$5:$C$29,"=qb")</f>
        <v>3</v>
      </c>
      <c r="D8" s="15">
        <f>SUMIF(Rittenhouse!$C$5:$C$29,"QB",Rittenhouse!$F$5:$F$29)</f>
        <v>53.45</v>
      </c>
      <c r="E8" s="12"/>
      <c r="F8" s="17">
        <f>+COUNTIF(Rittenhouse!$C$5:$C$29,"=rb")</f>
        <v>5</v>
      </c>
      <c r="G8" s="15">
        <f>SUMIF(Rittenhouse!$C$5:$C$29,"rb",Rittenhouse!$F$5:$F$29)</f>
        <v>43.550000000000004</v>
      </c>
      <c r="H8" s="12"/>
      <c r="I8" s="17">
        <f>+COUNTIF(Rittenhouse!$C$5:$C$29,"=wr")</f>
        <v>6</v>
      </c>
      <c r="J8" s="15">
        <f>SUMIF(Rittenhouse!$C$5:$C$29,"wr",Rittenhouse!$F$5:$F$29)</f>
        <v>31.999999999999996</v>
      </c>
      <c r="K8" s="12"/>
      <c r="L8" s="17">
        <f>+COUNTIF(Rittenhouse!$C$5:$C$29,"=te")</f>
        <v>1</v>
      </c>
      <c r="M8" s="15">
        <f>SUMIF(Rittenhouse!$C$5:$C$29,"te",Rittenhouse!$F$5:$F$29)</f>
        <v>1.95</v>
      </c>
      <c r="N8" s="12"/>
      <c r="O8" s="17">
        <f>+COUNTIF(Rittenhouse!$C$5:$C$29,"=k")</f>
        <v>1</v>
      </c>
      <c r="P8" s="15">
        <f>SUMIF(Rittenhouse!$C$5:$C$29,"k",Rittenhouse!$F$5:$F$29)</f>
        <v>3</v>
      </c>
      <c r="Q8" s="12"/>
      <c r="R8" s="17">
        <f>+COUNTIF(Rittenhouse!$C$5:$C$29,"=dl")</f>
        <v>6</v>
      </c>
      <c r="S8" s="15">
        <f>SUMIF(Rittenhouse!$C$5:$C$29,"dl",Rittenhouse!$F$5:$F$29)</f>
        <v>22.5</v>
      </c>
      <c r="T8" s="13"/>
      <c r="U8" s="17">
        <f>+COUNTIF(Rittenhouse!$C$5:$C$29,"=db")</f>
        <v>3</v>
      </c>
      <c r="V8" s="15">
        <f>SUMIF(Rittenhouse!$C$5:$C$29,"db",Rittenhouse!$F$5:$F$29)</f>
        <v>5.6499999999999995</v>
      </c>
      <c r="W8" s="13"/>
      <c r="X8" s="15">
        <f t="shared" si="0"/>
        <v>133.95</v>
      </c>
      <c r="Y8" s="12"/>
      <c r="Z8" s="15">
        <f t="shared" si="1"/>
        <v>28.15</v>
      </c>
      <c r="AA8" s="12"/>
      <c r="AB8" s="15">
        <f t="shared" si="2"/>
        <v>162.1</v>
      </c>
    </row>
    <row r="9" spans="1:28" s="7" customFormat="1" ht="15" customHeight="1">
      <c r="A9" s="11" t="s">
        <v>20</v>
      </c>
      <c r="B9" s="11"/>
      <c r="C9" s="17">
        <f>+COUNTIF(Losurdo!$C$5:$C$29,"=qb")</f>
        <v>2</v>
      </c>
      <c r="D9" s="15">
        <f>SUMIF(Losurdo!$C$5:$C$29,"QB",Losurdo!$F$5:$F$29)</f>
        <v>59.8</v>
      </c>
      <c r="E9" s="12"/>
      <c r="F9" s="17">
        <f>+COUNTIF(Losurdo!$C$5:$C$29,"=rb")</f>
        <v>5</v>
      </c>
      <c r="G9" s="15">
        <f>SUMIF(Losurdo!$C$5:$C$29,"rb",Losurdo!$F$5:$F$29)</f>
        <v>76.2</v>
      </c>
      <c r="H9" s="12"/>
      <c r="I9" s="17">
        <f>+COUNTIF(Losurdo!$C$5:$C$29,"=wr")</f>
        <v>9</v>
      </c>
      <c r="J9" s="15">
        <f>SUMIF(Losurdo!$C$5:$C$29,"wr",Losurdo!$F$5:$F$29)</f>
        <v>57.39999999999999</v>
      </c>
      <c r="K9" s="12"/>
      <c r="L9" s="17">
        <f>+COUNTIF(Losurdo!$C$5:$C$29,"=te")</f>
        <v>2</v>
      </c>
      <c r="M9" s="15">
        <f>SUMIF(Losurdo!$C$5:$C$29,"te",Losurdo!$F$5:$F$29)</f>
        <v>3.75</v>
      </c>
      <c r="N9" s="12"/>
      <c r="O9" s="17">
        <f>+COUNTIF(Losurdo!$C$5:$C$29,"=k")</f>
        <v>1</v>
      </c>
      <c r="P9" s="15">
        <f>SUMIF(Losurdo!$C$5:$C$29,"k",Losurdo!$F$5:$F$29)</f>
        <v>1.65</v>
      </c>
      <c r="Q9" s="12"/>
      <c r="R9" s="17">
        <f>+COUNTIF(Losurdo!$C$5:$C$29,"=dl")</f>
        <v>4</v>
      </c>
      <c r="S9" s="15">
        <f>SUMIF(Losurdo!$C$5:$C$29,"dl",Losurdo!$F$5:$F$29)</f>
        <v>7.8</v>
      </c>
      <c r="T9" s="13"/>
      <c r="U9" s="17">
        <f>+COUNTIF(Losurdo!$C$5:$C$29,"=db")</f>
        <v>2</v>
      </c>
      <c r="V9" s="15">
        <f>SUMIF(Losurdo!$C$5:$C$29,"db",Losurdo!$F$5:$F$29)</f>
        <v>8.399999999999999</v>
      </c>
      <c r="W9" s="13"/>
      <c r="X9" s="15">
        <f t="shared" si="0"/>
        <v>198.79999999999998</v>
      </c>
      <c r="Y9" s="12"/>
      <c r="Z9" s="15">
        <f t="shared" si="1"/>
        <v>16.2</v>
      </c>
      <c r="AA9" s="12"/>
      <c r="AB9" s="15">
        <f t="shared" si="2"/>
        <v>214.99999999999997</v>
      </c>
    </row>
    <row r="10" spans="1:28" s="7" customFormat="1" ht="15" customHeight="1">
      <c r="A10" s="11" t="s">
        <v>361</v>
      </c>
      <c r="C10" s="17">
        <f>+COUNTIF(Kumar!$C$5:$C$29,"=qb")</f>
        <v>3</v>
      </c>
      <c r="D10" s="15">
        <f>SUMIF(Kumar!$C$5:$C$29,"QB",Kumar!$F$5:$F$29)</f>
        <v>8.7</v>
      </c>
      <c r="E10" s="12"/>
      <c r="F10" s="17">
        <f>+COUNTIF(Kumar!$C$5:$C$29,"=rb")</f>
        <v>5</v>
      </c>
      <c r="G10" s="15">
        <f>SUMIF(Kumar!$C$5:$C$29,"rb",Kumar!$F$5:$F$29)</f>
        <v>87.75</v>
      </c>
      <c r="H10" s="12"/>
      <c r="I10" s="17">
        <f>+COUNTIF(Kumar!$C$5:$C$29,"=wr")</f>
        <v>5</v>
      </c>
      <c r="J10" s="15">
        <f>SUMIF(Kumar!$C$5:$C$29,"wr",Kumar!$F$5:$F$29)</f>
        <v>76.55</v>
      </c>
      <c r="K10" s="12"/>
      <c r="L10" s="17">
        <f>+COUNTIF(Kumar!$C$5:$C$29,"=te")</f>
        <v>1</v>
      </c>
      <c r="M10" s="15">
        <f>SUMIF(Kumar!$C$5:$C$29,"te",Kumar!$F$5:$F$29)</f>
        <v>1.65</v>
      </c>
      <c r="N10" s="12"/>
      <c r="O10" s="17">
        <f>+COUNTIF(Kumar!$C$5:$C$29,"=k")</f>
        <v>2</v>
      </c>
      <c r="P10" s="15">
        <f>SUMIF(Kumar!$C$5:$C$29,"k",Kumar!$F$5:$F$29)</f>
        <v>6.65</v>
      </c>
      <c r="Q10" s="12"/>
      <c r="R10" s="17">
        <f>+COUNTIF(Kumar!$C$5:$C$29,"=dl")</f>
        <v>5</v>
      </c>
      <c r="S10" s="15">
        <f>SUMIF(Kumar!$C$5:$C$29,"dl",Kumar!$F$5:$F$29)</f>
        <v>21.85</v>
      </c>
      <c r="T10" s="13"/>
      <c r="U10" s="17">
        <f>+COUNTIF(Kumar!$C$5:$C$29,"=db")</f>
        <v>3</v>
      </c>
      <c r="V10" s="15">
        <f>SUMIF(Kumar!$C$5:$C$29,"db",Kumar!$F$5:$F$29)</f>
        <v>11.8</v>
      </c>
      <c r="W10" s="13"/>
      <c r="X10" s="15">
        <f t="shared" si="0"/>
        <v>181.3</v>
      </c>
      <c r="Y10" s="12"/>
      <c r="Z10" s="15">
        <f t="shared" si="1"/>
        <v>33.650000000000006</v>
      </c>
      <c r="AA10" s="12"/>
      <c r="AB10" s="15">
        <f t="shared" si="2"/>
        <v>214.95000000000002</v>
      </c>
    </row>
    <row r="11" spans="1:28" s="7" customFormat="1" ht="15" customHeight="1">
      <c r="A11" s="11" t="s">
        <v>22</v>
      </c>
      <c r="C11" s="17">
        <f>+COUNTIF(Kuhn!$C$5:$C$29,"=qb")</f>
        <v>2</v>
      </c>
      <c r="D11" s="15">
        <f>SUMIF(Kuhn!$C$5:$C$29,"QB",Kuhn!$F$5:$F$29)</f>
        <v>6.4</v>
      </c>
      <c r="E11" s="12"/>
      <c r="F11" s="17">
        <f>+COUNTIF(Kuhn!$C$5:$C$29,"=rb")</f>
        <v>7</v>
      </c>
      <c r="G11" s="15">
        <f>SUMIF(Kuhn!$C$5:$C$29,"rb",Kuhn!$F$5:$F$29)</f>
        <v>21.15</v>
      </c>
      <c r="H11" s="12"/>
      <c r="I11" s="17">
        <f>+COUNTIF(Kuhn!$C$5:$C$29,"=wr")</f>
        <v>5</v>
      </c>
      <c r="J11" s="15">
        <f>SUMIF(Kuhn!$C$5:$C$29,"wr",Kuhn!$F$5:$F$29)</f>
        <v>126.75000000000001</v>
      </c>
      <c r="K11" s="12"/>
      <c r="L11" s="17">
        <f>+COUNTIF(Kuhn!$C$5:$C$29,"=te")</f>
        <v>2</v>
      </c>
      <c r="M11" s="15">
        <f>SUMIF(Kuhn!$C$5:$C$29,"te",Kuhn!$F$5:$F$29)</f>
        <v>13.549999999999999</v>
      </c>
      <c r="N11" s="12"/>
      <c r="O11" s="17">
        <f>+COUNTIF(Kuhn!$C$5:$C$29,"=k")</f>
        <v>1</v>
      </c>
      <c r="P11" s="15">
        <f>SUMIF(Kuhn!$C$5:$C$29,"k",Kuhn!$F$5:$F$29)</f>
        <v>5.25</v>
      </c>
      <c r="Q11" s="12"/>
      <c r="R11" s="17">
        <f>+COUNTIF(Kuhn!$C$5:$C$29,"=dl")</f>
        <v>5</v>
      </c>
      <c r="S11" s="15">
        <f>SUMIF(Kuhn!$C$5:$C$29,"dl",Kuhn!$F$5:$F$29)</f>
        <v>30.9</v>
      </c>
      <c r="T11" s="13"/>
      <c r="U11" s="17">
        <f>+COUNTIF(Kuhn!$C$5:$C$29,"=db")</f>
        <v>3</v>
      </c>
      <c r="V11" s="15">
        <f>SUMIF(Kuhn!$C$5:$C$29,"db",Kuhn!$F$5:$F$29)</f>
        <v>8.649999999999999</v>
      </c>
      <c r="W11" s="13"/>
      <c r="X11" s="15">
        <f t="shared" si="0"/>
        <v>173.10000000000002</v>
      </c>
      <c r="Y11" s="12"/>
      <c r="Z11" s="15">
        <f t="shared" si="1"/>
        <v>39.55</v>
      </c>
      <c r="AA11" s="12"/>
      <c r="AB11" s="15">
        <f t="shared" si="2"/>
        <v>212.65000000000003</v>
      </c>
    </row>
    <row r="12" spans="1:28" s="7" customFormat="1" ht="15" customHeight="1">
      <c r="A12" s="11" t="s">
        <v>17</v>
      </c>
      <c r="C12" s="17">
        <f>+COUNTIF(Barton!$C$5:$C$29,"=QB")</f>
        <v>2</v>
      </c>
      <c r="D12" s="15">
        <f>SUMIF(Barton!$C$5:$C$29,"QB",Barton!$F$5:$F$29)</f>
        <v>70.65</v>
      </c>
      <c r="E12" s="12"/>
      <c r="F12" s="17">
        <f>+COUNTIF(Barton!$C$5:$C$29,"=rb")</f>
        <v>5</v>
      </c>
      <c r="G12" s="15">
        <f>SUMIF(Barton!$C$5:$C$29,"rb",Barton!$F$5:$F$29)</f>
        <v>98.14999999999999</v>
      </c>
      <c r="H12" s="12"/>
      <c r="I12" s="17">
        <f>+COUNTIF(Barton!$C$5:$C$29,"=wr")</f>
        <v>7</v>
      </c>
      <c r="J12" s="15">
        <f>SUMIF(Barton!$C$5:$C$29,"wr",Barton!$F$5:$F$29)</f>
        <v>12.899999999999999</v>
      </c>
      <c r="K12" s="12"/>
      <c r="L12" s="17">
        <f>+COUNTIF(Barton!$C$5:$C$29,"=te")</f>
        <v>2</v>
      </c>
      <c r="M12" s="15">
        <f>SUMIF(Barton!$C$5:$C$29,"te",Barton!$F$5:$F$29)</f>
        <v>9.05</v>
      </c>
      <c r="N12" s="12"/>
      <c r="O12" s="17">
        <f>+COUNTIF(Barton!$C$5:$C$29,"=k")</f>
        <v>2</v>
      </c>
      <c r="P12" s="15">
        <f>SUMIF(Barton!$C$5:$C$29,"k",Barton!$F$5:$F$29)</f>
        <v>3.8</v>
      </c>
      <c r="Q12" s="12"/>
      <c r="R12" s="17">
        <f>+COUNTIF(Barton!$C$5:$C$29,"=dl")</f>
        <v>5</v>
      </c>
      <c r="S12" s="15">
        <f>SUMIF(Barton!$C$5:$C$29,"dl",Barton!$F$5:$F$29)</f>
        <v>11.95</v>
      </c>
      <c r="T12" s="13"/>
      <c r="U12" s="17">
        <f>+COUNTIF(Barton!$C$5:$C$29,"=db")</f>
        <v>2</v>
      </c>
      <c r="V12" s="15">
        <f>SUMIF(Barton!$C$5:$C$29,"db",Barton!$F$5:$F$29)</f>
        <v>2.85</v>
      </c>
      <c r="W12" s="13"/>
      <c r="X12" s="15">
        <f t="shared" si="0"/>
        <v>194.55000000000004</v>
      </c>
      <c r="Y12" s="12"/>
      <c r="Z12" s="15">
        <f t="shared" si="1"/>
        <v>14.799999999999999</v>
      </c>
      <c r="AA12" s="12"/>
      <c r="AB12" s="15">
        <f t="shared" si="2"/>
        <v>209.35000000000005</v>
      </c>
    </row>
    <row r="13" spans="1:28" s="7" customFormat="1" ht="15" customHeight="1">
      <c r="A13" s="11" t="s">
        <v>364</v>
      </c>
      <c r="C13" s="17">
        <f>+COUNTIF(Roberts!$C$5:$C$29,"=qb")</f>
        <v>2</v>
      </c>
      <c r="D13" s="15">
        <f>SUMIF(Roberts!$C$5:$C$29,"QB",Roberts!$F$5:$F$29)</f>
        <v>46.9</v>
      </c>
      <c r="E13" s="12"/>
      <c r="F13" s="17">
        <f>+COUNTIF(Roberts!$C$5:$C$29,"=rb")</f>
        <v>4</v>
      </c>
      <c r="G13" s="15">
        <f>SUMIF(Roberts!$C$5:$C$29,"rb",Roberts!$F$5:$F$29)</f>
        <v>51.949999999999996</v>
      </c>
      <c r="H13" s="12"/>
      <c r="I13" s="17">
        <f>+COUNTIF(Roberts!$C$5:$C$29,"=wr")</f>
        <v>6</v>
      </c>
      <c r="J13" s="15">
        <f>SUMIF(Roberts!$C$5:$C$29,"wr",Roberts!$F$5:$F$29)</f>
        <v>69.5</v>
      </c>
      <c r="K13" s="12"/>
      <c r="L13" s="17">
        <f>+COUNTIF(Roberts!$C$5:$C$29,"=te")</f>
        <v>2</v>
      </c>
      <c r="M13" s="15">
        <f>SUMIF(Roberts!$C$5:$C$29,"te",Roberts!$F$5:$F$29)</f>
        <v>3.3</v>
      </c>
      <c r="N13" s="12"/>
      <c r="O13" s="17">
        <f>+COUNTIF(Roberts!$C$5:$C$29,"=k")</f>
        <v>2</v>
      </c>
      <c r="P13" s="15">
        <f>SUMIF(Roberts!$C$5:$C$29,"k",Roberts!$F$5:$F$29)</f>
        <v>7.25</v>
      </c>
      <c r="Q13" s="12"/>
      <c r="R13" s="17">
        <f>+COUNTIF(Roberts!$C$5:$C$29,"=dl")</f>
        <v>6</v>
      </c>
      <c r="S13" s="15">
        <f>SUMIF(Roberts!$C$5:$C$29,"dl",Roberts!$F$5:$F$29)</f>
        <v>18</v>
      </c>
      <c r="T13" s="13"/>
      <c r="U13" s="17">
        <f>+COUNTIF(Roberts!$C$5:$C$29,"=db")</f>
        <v>3</v>
      </c>
      <c r="V13" s="15">
        <f>SUMIF(Roberts!$C$5:$C$29,"db",Roberts!$F$5:$F$29)</f>
        <v>6.7</v>
      </c>
      <c r="W13" s="13"/>
      <c r="X13" s="15">
        <f t="shared" si="0"/>
        <v>178.9</v>
      </c>
      <c r="Y13" s="12"/>
      <c r="Z13" s="15">
        <f t="shared" si="1"/>
        <v>24.7</v>
      </c>
      <c r="AA13" s="12"/>
      <c r="AB13" s="15">
        <f t="shared" si="2"/>
        <v>203.6</v>
      </c>
    </row>
    <row r="14" spans="1:28" s="7" customFormat="1" ht="15" customHeight="1">
      <c r="A14" s="11" t="s">
        <v>16</v>
      </c>
      <c r="C14" s="17">
        <f>+COUNTIF(WoodfordB!$C$5:$C$29,"=qb")</f>
        <v>3</v>
      </c>
      <c r="D14" s="15">
        <f>SUMIF(WoodfordB!$C$5:$C$29,"QB",WoodfordB!$F$5:$F$29)</f>
        <v>21.049999999999997</v>
      </c>
      <c r="E14" s="12"/>
      <c r="F14" s="17">
        <f>+COUNTIF(WoodfordB!$C$5:$C$29,"=rb")</f>
        <v>4</v>
      </c>
      <c r="G14" s="15">
        <f>SUMIF(WoodfordB!$C$5:$C$29,"rb",WoodfordB!$F$5:$F$29)</f>
        <v>59.900000000000006</v>
      </c>
      <c r="H14" s="12"/>
      <c r="I14" s="17">
        <f>+COUNTIF(WoodfordB!$C$5:$C$29,"=wr")</f>
        <v>5</v>
      </c>
      <c r="J14" s="15">
        <f>SUMIF(WoodfordB!$C$5:$C$29,"wr",WoodfordB!$F$5:$F$29)</f>
        <v>82.35</v>
      </c>
      <c r="K14" s="12"/>
      <c r="L14" s="17">
        <f>+COUNTIF(WoodfordB!$C$5:$C$29,"=te")</f>
        <v>2</v>
      </c>
      <c r="M14" s="15">
        <f>SUMIF(WoodfordB!$C$5:$C$29,"te",WoodfordB!$F$5:$F$29)</f>
        <v>9.950000000000001</v>
      </c>
      <c r="N14" s="12"/>
      <c r="O14" s="17">
        <f>+COUNTIF(WoodfordB!$C$5:$C$29,"=k")</f>
        <v>1</v>
      </c>
      <c r="P14" s="15">
        <f>SUMIF(WoodfordB!$C$5:$C$29,"k",WoodfordB!$F$5:$F$29)</f>
        <v>1.95</v>
      </c>
      <c r="Q14" s="12"/>
      <c r="R14" s="17">
        <f>+COUNTIF(WoodfordB!$C$5:$C$29,"=dl")</f>
        <v>8</v>
      </c>
      <c r="S14" s="15">
        <f>SUMIF(WoodfordB!$C$5:$C$29,"dl",WoodfordB!$F$5:$F$29)</f>
        <v>19.099999999999998</v>
      </c>
      <c r="T14" s="13"/>
      <c r="U14" s="17">
        <f>+COUNTIF(WoodfordB!$C$5:$C$29,"=db")</f>
        <v>2</v>
      </c>
      <c r="V14" s="15">
        <f>SUMIF(WoodfordB!$C$5:$C$29,"db",WoodfordB!$F$5:$F$29)</f>
        <v>5.15</v>
      </c>
      <c r="W14" s="13"/>
      <c r="X14" s="15">
        <f t="shared" si="0"/>
        <v>175.2</v>
      </c>
      <c r="Y14" s="12"/>
      <c r="Z14" s="15">
        <f t="shared" si="1"/>
        <v>24.25</v>
      </c>
      <c r="AA14" s="12"/>
      <c r="AB14" s="15">
        <f t="shared" si="2"/>
        <v>199.45</v>
      </c>
    </row>
    <row r="15" spans="1:28" s="7" customFormat="1" ht="15" customHeight="1">
      <c r="A15" s="11" t="s">
        <v>493</v>
      </c>
      <c r="C15" s="17">
        <f>+COUNTIF(Chaplin!$C$5:$C$29,"=qb")</f>
        <v>4</v>
      </c>
      <c r="D15" s="15">
        <f>SUMIF(Chaplin!$C$5:$C$29,"QB",Chaplin!$F$5:$F$29)</f>
        <v>8.5</v>
      </c>
      <c r="E15" s="12"/>
      <c r="F15" s="17">
        <f>+COUNTIF(Chaplin!$C$5:$C$29,"=rb")</f>
        <v>3</v>
      </c>
      <c r="G15" s="15">
        <f>SUMIF(Chaplin!$C$5:$C$29,"rb",Chaplin!$F$5:$F$29)</f>
        <v>26.15</v>
      </c>
      <c r="H15" s="12"/>
      <c r="I15" s="17">
        <f>+COUNTIF(Chaplin!$C$5:$C$29,"=wr")</f>
        <v>5</v>
      </c>
      <c r="J15" s="15">
        <f>SUMIF(Chaplin!$C$5:$C$29,"wr",Chaplin!$F$5:$F$29)</f>
        <v>93.05</v>
      </c>
      <c r="K15" s="12"/>
      <c r="L15" s="17">
        <f>+COUNTIF(Chaplin!$C$5:$C$29,"=te")</f>
        <v>2</v>
      </c>
      <c r="M15" s="15">
        <f>SUMIF(Chaplin!$C$5:$C$29,"te",Chaplin!$F$5:$F$29)</f>
        <v>9.05</v>
      </c>
      <c r="N15" s="12"/>
      <c r="O15" s="17">
        <f>+COUNTIF(Chaplin!$C$5:$C$29,"=k")</f>
        <v>1</v>
      </c>
      <c r="P15" s="15">
        <f>SUMIF(Chaplin!$C$5:$C$29,"k",Chaplin!$F$5:$F$29)</f>
        <v>3.3</v>
      </c>
      <c r="Q15" s="12"/>
      <c r="R15" s="17">
        <f>+COUNTIF(Chaplin!$C$5:$C$29,"=dl")</f>
        <v>6</v>
      </c>
      <c r="S15" s="15">
        <f>SUMIF(Chaplin!$C$5:$C$29,"dl",Chaplin!$F$5:$F$29)</f>
        <v>21.349999999999998</v>
      </c>
      <c r="T15" s="13"/>
      <c r="U15" s="17">
        <f>+COUNTIF(Chaplin!$C$5:$C$29,"=db")</f>
        <v>4</v>
      </c>
      <c r="V15" s="15">
        <f>SUMIF(Chaplin!$C$5:$C$29,"db",Chaplin!$F$5:$F$29)</f>
        <v>9.8</v>
      </c>
      <c r="W15" s="13"/>
      <c r="X15" s="15">
        <f t="shared" si="0"/>
        <v>140.05</v>
      </c>
      <c r="Y15" s="12"/>
      <c r="Z15" s="15">
        <f t="shared" si="1"/>
        <v>31.15</v>
      </c>
      <c r="AA15" s="12"/>
      <c r="AB15" s="15">
        <f t="shared" si="2"/>
        <v>171.20000000000002</v>
      </c>
    </row>
    <row r="16" spans="1:28" s="7" customFormat="1" ht="15" customHeight="1">
      <c r="A16" s="11" t="s">
        <v>25</v>
      </c>
      <c r="C16" s="17">
        <f>+COUNTIF(Mehta!$C$5:$C$29,"qb")</f>
        <v>2</v>
      </c>
      <c r="D16" s="15">
        <f>SUMIF(Mehta!$C$5:$C$29,"QB",Mehta!$F$5:$F$29)</f>
        <v>12.6</v>
      </c>
      <c r="E16" s="12"/>
      <c r="F16" s="17">
        <f>+COUNTIF(Mehta!$C$5:$C$29,"rb")</f>
        <v>4</v>
      </c>
      <c r="G16" s="15">
        <f>SUMIF(Mehta!$C$5:$C$29,"rb",Mehta!$F$5:$F$29)</f>
        <v>36.85</v>
      </c>
      <c r="H16" s="12"/>
      <c r="I16" s="17">
        <f>+COUNTIF(Mehta!$C$5:$C$29,"wr")</f>
        <v>7</v>
      </c>
      <c r="J16" s="15">
        <f>SUMIF(Mehta!$C$5:$C$29,"wr",Mehta!$F$5:$F$29)</f>
        <v>87.4</v>
      </c>
      <c r="K16" s="12"/>
      <c r="L16" s="17">
        <f>+COUNTIF(Mehta!$C$5:$C$29,"te")</f>
        <v>3</v>
      </c>
      <c r="M16" s="15">
        <f>SUMIF(Mehta!$C$5:$C$29,"te",Mehta!$F$5:$F$29)</f>
        <v>14.149999999999999</v>
      </c>
      <c r="N16" s="12"/>
      <c r="O16" s="17">
        <f>+COUNTIF(Mehta!$C$5:$C$29,"k")</f>
        <v>1</v>
      </c>
      <c r="P16" s="15">
        <f>SUMIF(Mehta!$C$5:$C$29,"k",Mehta!$F$5:$F$29)</f>
        <v>4.25</v>
      </c>
      <c r="Q16" s="12"/>
      <c r="R16" s="17">
        <f>+COUNTIF(Mehta!$C$5:$C$29,"dl")</f>
        <v>5</v>
      </c>
      <c r="S16" s="15">
        <f>SUMIF(Mehta!$C$5:$C$29,"dl",Mehta!$F$5:$F$29)</f>
        <v>8.700000000000001</v>
      </c>
      <c r="T16" s="13"/>
      <c r="U16" s="17">
        <f>+COUNTIF(Mehta!$C$5:$C$29,"db")</f>
        <v>3</v>
      </c>
      <c r="V16" s="15">
        <f>SUMIF(Mehta!$C$5:$C$29,"db",Mehta!$F$5:$F$29)</f>
        <v>9.399999999999999</v>
      </c>
      <c r="W16" s="13"/>
      <c r="X16" s="15">
        <f t="shared" si="0"/>
        <v>155.25000000000003</v>
      </c>
      <c r="Y16" s="12"/>
      <c r="Z16" s="15">
        <f t="shared" si="1"/>
        <v>18.1</v>
      </c>
      <c r="AA16" s="12"/>
      <c r="AB16" s="15">
        <f t="shared" si="2"/>
        <v>173.35000000000002</v>
      </c>
    </row>
    <row r="17" spans="1:28" s="7" customFormat="1" ht="15" customHeight="1">
      <c r="A17" s="11" t="s">
        <v>14</v>
      </c>
      <c r="C17" s="17">
        <f>+COUNTIF(Hunt!$C$5:$C$29,"=qb")</f>
        <v>1</v>
      </c>
      <c r="D17" s="15">
        <f>SUMIF(Hunt!$C$5:$C$29,"QB",Hunt!$F$5:$F$29)</f>
        <v>71</v>
      </c>
      <c r="E17" s="12"/>
      <c r="F17" s="17">
        <f>+COUNTIF(Hunt!$C$5:$C$29,"=rb")</f>
        <v>5</v>
      </c>
      <c r="G17" s="15">
        <f>SUMIF(Hunt!$C$5:$C$29,"rb",Hunt!$F$5:$F$29)</f>
        <v>56.60000000000001</v>
      </c>
      <c r="H17" s="12"/>
      <c r="I17" s="17">
        <f>+COUNTIF(Hunt!$C$5:$C$29,"=wr")</f>
        <v>5</v>
      </c>
      <c r="J17" s="15">
        <f>SUMIF(Hunt!$C$5:$C$29,"wr",Hunt!$F$5:$F$29)</f>
        <v>73.15</v>
      </c>
      <c r="K17" s="12"/>
      <c r="L17" s="17">
        <f>+COUNTIF(Hunt!$C$5:$C$29,"=te")</f>
        <v>1</v>
      </c>
      <c r="M17" s="15">
        <f>SUMIF(Hunt!$C$5:$C$29,"te",Hunt!$F$5:$F$29)</f>
        <v>1.5</v>
      </c>
      <c r="N17" s="12"/>
      <c r="O17" s="17">
        <f>+COUNTIF(Hunt!$C$5:$C$29,"=k")</f>
        <v>2</v>
      </c>
      <c r="P17" s="15">
        <f>SUMIF(Hunt!$C$5:$C$29,"k",Hunt!$F$5:$F$29)</f>
        <v>3.9</v>
      </c>
      <c r="Q17" s="12"/>
      <c r="R17" s="17">
        <f>+COUNTIF(Hunt!$C$5:$C$29,"=dl")</f>
        <v>7</v>
      </c>
      <c r="S17" s="15">
        <f>SUMIF(Hunt!$C$5:$C$29,"dl",Hunt!$F$5:$F$29)</f>
        <v>15.65</v>
      </c>
      <c r="T17" s="13"/>
      <c r="U17" s="17">
        <f>+COUNTIF(Hunt!$C$5:$C$29,"=db")</f>
        <v>3</v>
      </c>
      <c r="V17" s="15">
        <f>SUMIF(Hunt!$C$5:$C$29,"db",Hunt!$F$5:$F$29)</f>
        <v>6.500000000000001</v>
      </c>
      <c r="W17" s="13"/>
      <c r="X17" s="15">
        <f t="shared" si="0"/>
        <v>206.15</v>
      </c>
      <c r="Y17" s="12"/>
      <c r="Z17" s="15">
        <f t="shared" si="1"/>
        <v>22.150000000000002</v>
      </c>
      <c r="AA17" s="12"/>
      <c r="AB17" s="15">
        <f t="shared" si="2"/>
        <v>228.3</v>
      </c>
    </row>
    <row r="18" spans="1:28" s="7" customFormat="1" ht="15" customHeight="1">
      <c r="A18" s="11" t="s">
        <v>13</v>
      </c>
      <c r="C18" s="17">
        <f>+COUNTIF(WoodfordW!$C$5:$C$29,"=qb")</f>
        <v>1</v>
      </c>
      <c r="D18" s="15">
        <f>SUMIF(WoodfordW!$C$5:$C$29,"QB",WoodfordW!$F$5:$F$29)</f>
        <v>30.25</v>
      </c>
      <c r="E18" s="12"/>
      <c r="F18" s="17">
        <f>+COUNTIF(WoodfordW!$C$5:$C$29,"=rb")</f>
        <v>5</v>
      </c>
      <c r="G18" s="15">
        <f>SUMIF(WoodfordW!$C$5:$C$29,"rb",WoodfordW!$F$5:$F$29)</f>
        <v>23.45</v>
      </c>
      <c r="H18" s="12"/>
      <c r="I18" s="17">
        <f>+COUNTIF(WoodfordW!$C$5:$C$29,"=wr")</f>
        <v>6</v>
      </c>
      <c r="J18" s="15">
        <f>SUMIF(WoodfordW!$C$5:$C$29,"wr",WoodfordW!$F$5:$F$29)</f>
        <v>75.8</v>
      </c>
      <c r="K18" s="12"/>
      <c r="L18" s="17">
        <f>+COUNTIF(WoodfordW!$C$5:$C$29,"=te")</f>
        <v>2</v>
      </c>
      <c r="M18" s="15">
        <f>SUMIF(WoodfordW!$C$5:$C$29,"te",WoodfordW!$F$5:$F$29)</f>
        <v>7.45</v>
      </c>
      <c r="N18" s="12"/>
      <c r="O18" s="17">
        <f>+COUNTIF(WoodfordW!$C$5:$C$29,"=k")</f>
        <v>2</v>
      </c>
      <c r="P18" s="15">
        <f>SUMIF(WoodfordW!$C$5:$C$29,"k",WoodfordW!$F$5:$F$29)</f>
        <v>4.5</v>
      </c>
      <c r="Q18" s="12"/>
      <c r="R18" s="17">
        <f>+COUNTIF(WoodfordW!$C$5:$C$29,"=dl")</f>
        <v>6</v>
      </c>
      <c r="S18" s="15">
        <f>SUMIF(WoodfordW!$C$5:$C$29,"dl",WoodfordW!$F$5:$F$29)</f>
        <v>19.200000000000003</v>
      </c>
      <c r="T18" s="13"/>
      <c r="U18" s="17">
        <f>+COUNTIF(WoodfordW!$C$5:$C$29,"=db")</f>
        <v>2</v>
      </c>
      <c r="V18" s="15">
        <f>SUMIF(WoodfordW!$C$5:$C$29,"db",WoodfordW!$F$5:$F$29)</f>
        <v>3.9</v>
      </c>
      <c r="W18" s="13"/>
      <c r="X18" s="15">
        <f t="shared" si="0"/>
        <v>141.45</v>
      </c>
      <c r="Y18" s="12"/>
      <c r="Z18" s="15">
        <f t="shared" si="1"/>
        <v>23.1</v>
      </c>
      <c r="AA18" s="12"/>
      <c r="AB18" s="15">
        <f t="shared" si="2"/>
        <v>164.54999999999998</v>
      </c>
    </row>
    <row r="19" spans="1:28" s="7" customFormat="1" ht="15" customHeight="1">
      <c r="A19" s="11" t="s">
        <v>12</v>
      </c>
      <c r="C19" s="17">
        <f>+COUNTIF(Berdie!$C$5:$C$29,"=QB")</f>
        <v>1</v>
      </c>
      <c r="D19" s="15">
        <f>SUMIF(Berdie!$C$5:$C$29,"QB",Berdie!$F$5:$F$29)</f>
        <v>36.05</v>
      </c>
      <c r="E19" s="12"/>
      <c r="F19" s="17">
        <f>+COUNTIF(Berdie!$C$5:$C$29,"=rb")</f>
        <v>7</v>
      </c>
      <c r="G19" s="15">
        <f>SUMIF(Berdie!$C$5:$C$29,"rb",Berdie!$F$5:$F$29)</f>
        <v>67.05</v>
      </c>
      <c r="H19" s="12"/>
      <c r="I19" s="17">
        <f>+COUNTIF(Berdie!$C$5:$C$29,"=wr")</f>
        <v>8</v>
      </c>
      <c r="J19" s="15">
        <f>SUMIF(Berdie!$C$5:$C$29,"wr",Berdie!$F$5:$F$29)</f>
        <v>46.85</v>
      </c>
      <c r="K19" s="12"/>
      <c r="L19" s="17">
        <f>+COUNTIF(Berdie!$C$5:$C$29,"=te")</f>
        <v>2</v>
      </c>
      <c r="M19" s="15">
        <f>SUMIF(Berdie!$C$5:$C$29,"te",Berdie!$F$5:$F$29)</f>
        <v>6.3</v>
      </c>
      <c r="N19" s="12"/>
      <c r="O19" s="17">
        <f>+COUNTIF(Berdie!$C$5:$C$29,"=k")</f>
        <v>1</v>
      </c>
      <c r="P19" s="15">
        <f>SUMIF(Berdie!$C$5:$C$29,"k",Berdie!$F$5:$F$29)</f>
        <v>1.95</v>
      </c>
      <c r="Q19" s="12"/>
      <c r="R19" s="17">
        <f>+COUNTIF(Berdie!$C$5:$C$29,"=dl")</f>
        <v>3</v>
      </c>
      <c r="S19" s="15">
        <f>SUMIF(Berdie!$C$5:$C$29,"dl",Berdie!$F$5:$F$29)</f>
        <v>5.85</v>
      </c>
      <c r="T19" s="13"/>
      <c r="U19" s="17">
        <f>+COUNTIF(Berdie!$C$5:$C$29,"=db")</f>
        <v>2</v>
      </c>
      <c r="V19" s="15">
        <f>SUMIF(Berdie!$C$5:$C$29,"db",Berdie!$F$5:$F$29)</f>
        <v>3.9</v>
      </c>
      <c r="W19" s="13"/>
      <c r="X19" s="15">
        <f t="shared" si="0"/>
        <v>158.2</v>
      </c>
      <c r="Y19" s="12"/>
      <c r="Z19" s="15">
        <f t="shared" si="1"/>
        <v>9.75</v>
      </c>
      <c r="AA19" s="12"/>
      <c r="AB19" s="15">
        <f t="shared" si="2"/>
        <v>167.95</v>
      </c>
    </row>
    <row r="20" spans="1:28" s="7" customFormat="1" ht="15" customHeight="1">
      <c r="A20" s="11" t="s">
        <v>363</v>
      </c>
      <c r="C20" s="17">
        <f>+COUNTIF(Biegler!$C$5:$C$29,"=qb")</f>
        <v>2</v>
      </c>
      <c r="D20" s="15">
        <f>SUMIF(Biegler!$C$5:$C$29,"QB",Biegler!$F$5:$F$29)</f>
        <v>14.450000000000001</v>
      </c>
      <c r="E20" s="12"/>
      <c r="F20" s="17">
        <f>+COUNTIF(Biegler!$C$5:$C$29,"=rb")</f>
        <v>5</v>
      </c>
      <c r="G20" s="15">
        <f>SUMIF(Biegler!$C$5:$C$29,"rb",Biegler!$F$5:$F$29)</f>
        <v>94.85000000000001</v>
      </c>
      <c r="H20" s="12"/>
      <c r="I20" s="17">
        <f>+COUNTIF(Biegler!$C$5:$C$29,"=wr")</f>
        <v>7</v>
      </c>
      <c r="J20" s="15">
        <f>SUMIF(Biegler!$C$5:$C$29,"wr",Biegler!$F$5:$F$29)</f>
        <v>19.2</v>
      </c>
      <c r="K20" s="12"/>
      <c r="L20" s="17">
        <f>+COUNTIF(Biegler!$C$5:$C$29,"=te")</f>
        <v>2</v>
      </c>
      <c r="M20" s="15">
        <f>SUMIF(Biegler!$C$5:$C$29,"te",Biegler!$F$5:$F$29)</f>
        <v>27.7</v>
      </c>
      <c r="N20" s="12"/>
      <c r="O20" s="17">
        <f>+COUNTIF(Biegler!$C$5:$C$29,"=k")</f>
        <v>1</v>
      </c>
      <c r="P20" s="15">
        <f>SUMIF(Biegler!$C$5:$C$29,"k",Biegler!$F$5:$F$29)</f>
        <v>1.95</v>
      </c>
      <c r="Q20" s="12"/>
      <c r="R20" s="17">
        <f>+COUNTIF(Biegler!$C$5:$C$29,"=dl")</f>
        <v>5</v>
      </c>
      <c r="S20" s="15">
        <f>SUMIF(Biegler!$C$5:$C$29,"dl",Biegler!$F$5:$F$29)</f>
        <v>24.5</v>
      </c>
      <c r="T20" s="13"/>
      <c r="U20" s="17">
        <f>+COUNTIF(Biegler!$C$5:$C$29,"=db")</f>
        <v>3</v>
      </c>
      <c r="V20" s="15">
        <f>SUMIF(Biegler!$C$5:$C$29,"db",Biegler!$F$5:$F$29)</f>
        <v>10.099999999999998</v>
      </c>
      <c r="W20" s="13"/>
      <c r="X20" s="15">
        <f t="shared" si="0"/>
        <v>158.14999999999998</v>
      </c>
      <c r="Y20" s="12"/>
      <c r="Z20" s="15">
        <f t="shared" si="1"/>
        <v>34.599999999999994</v>
      </c>
      <c r="AA20" s="12"/>
      <c r="AB20" s="15">
        <f t="shared" si="2"/>
        <v>192.74999999999997</v>
      </c>
    </row>
    <row r="21" spans="1:28" s="7" customFormat="1" ht="15" customHeight="1">
      <c r="A21" s="11" t="s">
        <v>362</v>
      </c>
      <c r="C21" s="17">
        <f>+COUNTIF(Wilt!$C$5:$C$29,"=qb")</f>
        <v>4</v>
      </c>
      <c r="D21" s="15">
        <f>SUMIF(Wilt!$C$5:$C$29,"QB",Wilt!$F$5:$F$29)</f>
        <v>73.9</v>
      </c>
      <c r="E21" s="12"/>
      <c r="F21" s="17">
        <f>+COUNTIF(Wilt!$C$5:$C$29,"=rb")</f>
        <v>4</v>
      </c>
      <c r="G21" s="15">
        <f>SUMIF(Wilt!$C$5:$C$29,"rb",Wilt!$F$5:$F$29)</f>
        <v>39.50000000000001</v>
      </c>
      <c r="H21" s="12"/>
      <c r="I21" s="17">
        <f>+COUNTIF(Wilt!$C$5:$C$29,"=wr")</f>
        <v>5</v>
      </c>
      <c r="J21" s="15">
        <f>SUMIF(Wilt!$C$5:$C$29,"wr",Wilt!$F$5:$F$29)</f>
        <v>29.35</v>
      </c>
      <c r="K21" s="12"/>
      <c r="L21" s="17">
        <f>+COUNTIF(Wilt!$C$5:$C$29,"=te")</f>
        <v>2</v>
      </c>
      <c r="M21" s="15">
        <f>SUMIF(Wilt!$C$5:$C$29,"te",Wilt!$F$5:$F$29)</f>
        <v>11.899999999999999</v>
      </c>
      <c r="N21" s="12"/>
      <c r="O21" s="17">
        <f>+COUNTIF(Wilt!$C$5:$C$29,"=k")</f>
        <v>1</v>
      </c>
      <c r="P21" s="15">
        <f>SUMIF(Wilt!$C$5:$C$29,"k",Wilt!$F$5:$F$29)</f>
        <v>1.8</v>
      </c>
      <c r="Q21" s="12"/>
      <c r="R21" s="17">
        <f>+COUNTIF(Wilt!$C$5:$C$29,"=dl")</f>
        <v>6</v>
      </c>
      <c r="S21" s="15">
        <f>SUMIF(Wilt!$C$5:$C$29,"dl",Wilt!$F$5:$F$29)</f>
        <v>13.249999999999998</v>
      </c>
      <c r="T21" s="13"/>
      <c r="U21" s="17">
        <f>+COUNTIF(Wilt!$C$5:$C$29,"=db")</f>
        <v>3</v>
      </c>
      <c r="V21" s="15">
        <f>SUMIF(Wilt!$C$5:$C$29,"db",Wilt!$F$5:$F$29)</f>
        <v>7.4</v>
      </c>
      <c r="W21" s="13"/>
      <c r="X21" s="15">
        <f t="shared" si="0"/>
        <v>156.45000000000002</v>
      </c>
      <c r="Y21" s="12"/>
      <c r="Z21" s="15">
        <f t="shared" si="1"/>
        <v>20.65</v>
      </c>
      <c r="AA21" s="12"/>
      <c r="AB21" s="15">
        <f t="shared" si="2"/>
        <v>177.10000000000002</v>
      </c>
    </row>
    <row r="22" spans="1:28" s="7" customFormat="1" ht="15" customHeight="1">
      <c r="A22" s="11" t="s">
        <v>21</v>
      </c>
      <c r="C22" s="17">
        <f>+COUNTIF(Adkisson!$C$5:$C$29,"=qb")</f>
        <v>3</v>
      </c>
      <c r="D22" s="15">
        <f>SUMIF(Adkisson!$C$5:$C$29,"QB",Adkisson!$F$5:$F$29)</f>
        <v>36.7</v>
      </c>
      <c r="E22" s="12"/>
      <c r="F22" s="17">
        <f>+COUNTIF(Adkisson!$C$5:$C$29,"=rb")</f>
        <v>4</v>
      </c>
      <c r="G22" s="15">
        <f>SUMIF(Adkisson!$C$5:$C$29,"rb",Adkisson!$F$5:$F$29)</f>
        <v>29.95</v>
      </c>
      <c r="H22" s="12"/>
      <c r="I22" s="17">
        <f>+COUNTIF(Adkisson!$C$5:$C$29,"=wr")</f>
        <v>6</v>
      </c>
      <c r="J22" s="15">
        <f>SUMIF(Adkisson!$C$5:$C$29,"wr",Adkisson!$F$5:$F$29)</f>
        <v>41.55</v>
      </c>
      <c r="K22" s="12"/>
      <c r="L22" s="17">
        <f>+COUNTIF(Adkisson!$C$5:$C$29,"=te")</f>
        <v>2</v>
      </c>
      <c r="M22" s="15">
        <f>SUMIF(Adkisson!$C$5:$C$29,"te",Adkisson!$F$5:$F$29)</f>
        <v>10.450000000000001</v>
      </c>
      <c r="N22" s="12"/>
      <c r="O22" s="17">
        <f>+COUNTIF(Adkisson!$C$5:$C$29,"=k")</f>
        <v>1</v>
      </c>
      <c r="P22" s="15">
        <f>SUMIF(Adkisson!$C$5:$C$29,"k",Adkisson!$F$5:$F$29)</f>
        <v>3.6</v>
      </c>
      <c r="Q22" s="12"/>
      <c r="R22" s="17">
        <f>+COUNTIF(Adkisson!$C$5:$C$29,"=dl")</f>
        <v>6</v>
      </c>
      <c r="S22" s="15">
        <f>SUMIF(Adkisson!$C$5:$C$29,"dl",Adkisson!$F$5:$F$29)</f>
        <v>25.7</v>
      </c>
      <c r="T22" s="13"/>
      <c r="U22" s="17">
        <f>+COUNTIF(Adkisson!$C$5:$C$29,"=db")</f>
        <v>3</v>
      </c>
      <c r="V22" s="15">
        <f>SUMIF(Adkisson!$C$5:$C$29,"db",Adkisson!$F$5:$F$29)</f>
        <v>6.9</v>
      </c>
      <c r="W22" s="13"/>
      <c r="X22" s="15">
        <f t="shared" si="0"/>
        <v>122.25</v>
      </c>
      <c r="Y22" s="12"/>
      <c r="Z22" s="15">
        <f t="shared" si="1"/>
        <v>32.6</v>
      </c>
      <c r="AA22" s="12"/>
      <c r="AB22" s="15">
        <f t="shared" si="2"/>
        <v>154.85</v>
      </c>
    </row>
    <row r="23" spans="1:28" s="7" customFormat="1" ht="15" customHeight="1">
      <c r="A23" s="11" t="s">
        <v>55</v>
      </c>
      <c r="C23" s="17">
        <f>+COUNTIF(Chockalingam!$C$5:$C$29,"=qb")</f>
        <v>2</v>
      </c>
      <c r="D23" s="15">
        <f>SUMIF(Chockalingam!$C$5:$C$29,"QB",Chockalingam!$F$5:$F$29)</f>
        <v>26.2</v>
      </c>
      <c r="E23" s="12"/>
      <c r="F23" s="17">
        <f>+COUNTIF(Chockalingam!$C$5:$C$29,"=rb")</f>
        <v>4</v>
      </c>
      <c r="G23" s="15">
        <f>SUMIF(Chockalingam!$C$5:$C$29,"rb",Chockalingam!$F$5:$F$29)</f>
        <v>24.3</v>
      </c>
      <c r="H23" s="12"/>
      <c r="I23" s="17">
        <f>+COUNTIF(Chockalingam!$C$5:$C$29,"=wr")</f>
        <v>5</v>
      </c>
      <c r="J23" s="15">
        <f>SUMIF(Chockalingam!$C$5:$C$29,"wr",Chockalingam!$F$5:$F$29)</f>
        <v>60.65</v>
      </c>
      <c r="K23" s="12"/>
      <c r="L23" s="17">
        <f>+COUNTIF(Chockalingam!$C$5:$C$29,"=te")</f>
        <v>3</v>
      </c>
      <c r="M23" s="15">
        <f>SUMIF(Chockalingam!$C$5:$C$29,"te",Chockalingam!$F$5:$F$29)</f>
        <v>11.45</v>
      </c>
      <c r="N23" s="12"/>
      <c r="O23" s="17">
        <f>+COUNTIF(Chockalingam!$C$5:$C$29,"=k")</f>
        <v>2</v>
      </c>
      <c r="P23" s="15">
        <f>SUMIF(Chockalingam!$C$5:$C$29,"k",Chockalingam!$F$5:$F$29)</f>
        <v>4.4</v>
      </c>
      <c r="Q23" s="12"/>
      <c r="R23" s="17">
        <f>+COUNTIF(Chockalingam!$C$5:$C$29,"=dl")</f>
        <v>5</v>
      </c>
      <c r="S23" s="15">
        <f>SUMIF(Chockalingam!$C$5:$C$29,"dl",Chockalingam!$F$5:$F$29)</f>
        <v>20.85</v>
      </c>
      <c r="T23" s="13"/>
      <c r="U23" s="17">
        <f>+COUNTIF(Chockalingam!$C$5:$C$29,"=db")</f>
        <v>4</v>
      </c>
      <c r="V23" s="15">
        <f>SUMIF(Chockalingam!$C$5:$C$29,"db",Chockalingam!$F$5:$F$29)</f>
        <v>8.649999999999999</v>
      </c>
      <c r="W23" s="13"/>
      <c r="X23" s="15">
        <f t="shared" si="0"/>
        <v>127.00000000000001</v>
      </c>
      <c r="Y23" s="12"/>
      <c r="Z23" s="15">
        <f t="shared" si="1"/>
        <v>29.5</v>
      </c>
      <c r="AA23" s="12"/>
      <c r="AB23" s="15">
        <f t="shared" si="2"/>
        <v>156.5</v>
      </c>
    </row>
    <row r="24" spans="1:28" s="7" customFormat="1" ht="15" customHeight="1">
      <c r="A24" s="11" t="s">
        <v>24</v>
      </c>
      <c r="C24" s="17">
        <f>+COUNTIF(Meinen!$C$5:$C$29,"=qb")</f>
        <v>2</v>
      </c>
      <c r="D24" s="15">
        <f>SUMIF(Meinen!$C$5:$C$29,"QB",Meinen!$F$5:$F$29)</f>
        <v>47.95</v>
      </c>
      <c r="E24" s="12"/>
      <c r="F24" s="17">
        <f>+COUNTIF(Meinen!$C$5:$C$29,"=rb")</f>
        <v>5</v>
      </c>
      <c r="G24" s="15">
        <f>SUMIF(Meinen!$C$5:$C$29,"rb",Meinen!$F$5:$F$29)</f>
        <v>54.20000000000001</v>
      </c>
      <c r="H24" s="12"/>
      <c r="I24" s="17">
        <f>+COUNTIF(Meinen!$C$5:$C$29,"=wr")</f>
        <v>6</v>
      </c>
      <c r="J24" s="15">
        <f>SUMIF(Meinen!$C$5:$C$29,"wr",Meinen!$F$5:$F$29)</f>
        <v>17.5</v>
      </c>
      <c r="K24" s="12"/>
      <c r="L24" s="17">
        <f>+COUNTIF(Meinen!$C$5:$C$29,"=te")</f>
        <v>3</v>
      </c>
      <c r="M24" s="15">
        <f>SUMIF(Meinen!$C$5:$C$29,"te",Meinen!$F$5:$F$29)</f>
        <v>6.25</v>
      </c>
      <c r="N24" s="12"/>
      <c r="O24" s="17">
        <f>+COUNTIF(Meinen!$C$5:$C$29,"=k")</f>
        <v>1</v>
      </c>
      <c r="P24" s="15">
        <f>SUMIF(Meinen!$C$5:$C$29,"k",Meinen!$F$5:$F$29)</f>
        <v>2.4</v>
      </c>
      <c r="Q24" s="12"/>
      <c r="R24" s="17">
        <f>+COUNTIF(Meinen!$C$5:$C$29,"=dl")</f>
        <v>5</v>
      </c>
      <c r="S24" s="15">
        <f>SUMIF(Meinen!$C$5:$C$29,"dl",Meinen!$F$5:$F$29)</f>
        <v>9.4</v>
      </c>
      <c r="T24" s="13"/>
      <c r="U24" s="17">
        <f>+COUNTIF(Meinen!$C$5:$C$29,"=db")</f>
        <v>3</v>
      </c>
      <c r="V24" s="15">
        <f>SUMIF(Meinen!$C$5:$C$29,"db",Meinen!$F$5:$F$29)</f>
        <v>5.85</v>
      </c>
      <c r="W24" s="13"/>
      <c r="X24" s="15">
        <f t="shared" si="0"/>
        <v>128.3</v>
      </c>
      <c r="Y24" s="12"/>
      <c r="Z24" s="15">
        <f t="shared" si="1"/>
        <v>15.25</v>
      </c>
      <c r="AA24" s="12"/>
      <c r="AB24" s="15">
        <f t="shared" si="2"/>
        <v>143.55</v>
      </c>
    </row>
    <row r="25" ht="12.75">
      <c r="O25" s="16"/>
    </row>
    <row r="26" spans="1:22" ht="14.25">
      <c r="A26" s="18" t="s">
        <v>56</v>
      </c>
      <c r="D26" s="19">
        <f>+SUM(C5:C24)</f>
        <v>47</v>
      </c>
      <c r="G26" s="19">
        <f>+SUM(F5:F24)</f>
        <v>93</v>
      </c>
      <c r="J26" s="19">
        <f>+SUM(I5:I24)</f>
        <v>125</v>
      </c>
      <c r="M26" s="19">
        <f>+SUM(L5:L24)</f>
        <v>40</v>
      </c>
      <c r="P26" s="19">
        <f>+SUM(O5:O24)</f>
        <v>27</v>
      </c>
      <c r="S26" s="19">
        <f>+SUM(R5:R24)</f>
        <v>106</v>
      </c>
      <c r="V26" s="19">
        <f>+SUM(U5:U24)</f>
        <v>57</v>
      </c>
    </row>
    <row r="27" spans="1:28" ht="14.25">
      <c r="A27" s="18" t="s">
        <v>57</v>
      </c>
      <c r="D27" s="14">
        <f>+SUM(D5:D24)/D26</f>
        <v>15.700000000000005</v>
      </c>
      <c r="G27" s="14">
        <f>+SUM(G5:G24)/G26</f>
        <v>10.639247311827958</v>
      </c>
      <c r="J27" s="14">
        <f>+SUM(J5:J24)/J26</f>
        <v>10.070799999999998</v>
      </c>
      <c r="M27" s="14">
        <f>+SUM(M5:M24)/M26</f>
        <v>5.545</v>
      </c>
      <c r="P27" s="14">
        <f>+SUM(P5:P24)/P26</f>
        <v>2.6981481481481486</v>
      </c>
      <c r="S27" s="14">
        <f>+SUM(S5:S24)/S26</f>
        <v>3.28443396226415</v>
      </c>
      <c r="V27" s="14">
        <f>+SUM(V5:V24)/V26</f>
        <v>2.6754385964912286</v>
      </c>
      <c r="X27" s="14">
        <f>+AVERAGE(X5:X24)</f>
        <v>164.0425</v>
      </c>
      <c r="Z27" s="14">
        <f>+AVERAGE(Z5:Z24)</f>
        <v>25.0325</v>
      </c>
      <c r="AB27" s="14">
        <f>+AVERAGE(AB5:AB24)</f>
        <v>189.075</v>
      </c>
    </row>
    <row r="28" ht="12.75">
      <c r="X28" s="14"/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548</v>
      </c>
      <c r="C5" s="21" t="s">
        <v>52</v>
      </c>
      <c r="D5" s="21" t="s">
        <v>87</v>
      </c>
      <c r="E5" s="21" t="s">
        <v>65</v>
      </c>
      <c r="F5" s="32">
        <v>1.95</v>
      </c>
      <c r="G5" s="33">
        <v>2014</v>
      </c>
      <c r="I5" s="30">
        <f aca="true" t="shared" si="0" ref="I5:M15">+IF($G5&gt;=I$3,$F5,0)</f>
        <v>1.95</v>
      </c>
      <c r="J5" s="30">
        <f t="shared" si="0"/>
        <v>1.95</v>
      </c>
      <c r="K5" s="30">
        <f t="shared" si="0"/>
        <v>1.95</v>
      </c>
      <c r="L5" s="30">
        <f t="shared" si="0"/>
        <v>1.95</v>
      </c>
      <c r="M5" s="30">
        <f t="shared" si="0"/>
        <v>1.95</v>
      </c>
    </row>
    <row r="6" spans="1:13" ht="12.75">
      <c r="A6" s="25">
        <v>2</v>
      </c>
      <c r="B6" s="20" t="s">
        <v>135</v>
      </c>
      <c r="C6" s="21" t="s">
        <v>51</v>
      </c>
      <c r="D6" s="21" t="s">
        <v>83</v>
      </c>
      <c r="E6" s="26" t="s">
        <v>65</v>
      </c>
      <c r="F6" s="28">
        <v>1.9</v>
      </c>
      <c r="G6" s="29">
        <v>2012</v>
      </c>
      <c r="I6" s="30">
        <f t="shared" si="0"/>
        <v>1.9</v>
      </c>
      <c r="J6" s="30">
        <f t="shared" si="0"/>
        <v>1.9</v>
      </c>
      <c r="K6" s="30">
        <f t="shared" si="0"/>
        <v>1.9</v>
      </c>
      <c r="L6" s="30">
        <f t="shared" si="0"/>
        <v>0</v>
      </c>
      <c r="M6" s="30">
        <f t="shared" si="0"/>
        <v>0</v>
      </c>
    </row>
    <row r="7" spans="1:13" ht="12.75">
      <c r="A7" s="25">
        <v>3</v>
      </c>
      <c r="B7" s="34" t="s">
        <v>408</v>
      </c>
      <c r="C7" s="21" t="s">
        <v>46</v>
      </c>
      <c r="D7" s="21" t="s">
        <v>88</v>
      </c>
      <c r="E7" s="26" t="s">
        <v>65</v>
      </c>
      <c r="F7" s="28">
        <v>68.05</v>
      </c>
      <c r="G7" s="29">
        <v>2011</v>
      </c>
      <c r="I7" s="30">
        <f t="shared" si="0"/>
        <v>68.05</v>
      </c>
      <c r="J7" s="30">
        <f t="shared" si="0"/>
        <v>68.05</v>
      </c>
      <c r="K7" s="30">
        <f t="shared" si="0"/>
        <v>0</v>
      </c>
      <c r="L7" s="30">
        <f t="shared" si="0"/>
        <v>0</v>
      </c>
      <c r="M7" s="30">
        <f t="shared" si="0"/>
        <v>0</v>
      </c>
    </row>
    <row r="8" spans="1:13" ht="12.75">
      <c r="A8" s="25">
        <v>4</v>
      </c>
      <c r="B8" s="34" t="s">
        <v>308</v>
      </c>
      <c r="C8" s="21" t="s">
        <v>47</v>
      </c>
      <c r="D8" s="21" t="s">
        <v>132</v>
      </c>
      <c r="E8" s="26" t="s">
        <v>65</v>
      </c>
      <c r="F8" s="28">
        <v>33.65</v>
      </c>
      <c r="G8" s="29">
        <v>2011</v>
      </c>
      <c r="I8" s="30">
        <f t="shared" si="0"/>
        <v>33.65</v>
      </c>
      <c r="J8" s="30">
        <f t="shared" si="0"/>
        <v>33.65</v>
      </c>
      <c r="K8" s="30">
        <f t="shared" si="0"/>
        <v>0</v>
      </c>
      <c r="L8" s="30">
        <f t="shared" si="0"/>
        <v>0</v>
      </c>
      <c r="M8" s="30">
        <f t="shared" si="0"/>
        <v>0</v>
      </c>
    </row>
    <row r="9" spans="1:13" ht="12.75">
      <c r="A9" s="25">
        <v>5</v>
      </c>
      <c r="B9" s="34" t="s">
        <v>461</v>
      </c>
      <c r="C9" s="21" t="s">
        <v>49</v>
      </c>
      <c r="D9" s="21" t="s">
        <v>71</v>
      </c>
      <c r="E9" s="26" t="s">
        <v>65</v>
      </c>
      <c r="F9" s="28">
        <v>9.95</v>
      </c>
      <c r="G9" s="29">
        <v>2011</v>
      </c>
      <c r="I9" s="30">
        <f t="shared" si="0"/>
        <v>9.95</v>
      </c>
      <c r="J9" s="30">
        <f t="shared" si="0"/>
        <v>9.95</v>
      </c>
      <c r="K9" s="30">
        <f t="shared" si="0"/>
        <v>0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34" t="s">
        <v>447</v>
      </c>
      <c r="C10" s="21" t="s">
        <v>51</v>
      </c>
      <c r="D10" s="21" t="s">
        <v>131</v>
      </c>
      <c r="E10" s="26" t="s">
        <v>65</v>
      </c>
      <c r="F10" s="28">
        <v>3.55</v>
      </c>
      <c r="G10" s="29">
        <v>2011</v>
      </c>
      <c r="I10" s="30">
        <f t="shared" si="0"/>
        <v>3.55</v>
      </c>
      <c r="J10" s="30">
        <f t="shared" si="0"/>
        <v>3.55</v>
      </c>
      <c r="K10" s="30">
        <f t="shared" si="0"/>
        <v>0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34" t="s">
        <v>126</v>
      </c>
      <c r="C11" s="21" t="s">
        <v>52</v>
      </c>
      <c r="D11" s="21" t="s">
        <v>71</v>
      </c>
      <c r="E11" s="26" t="s">
        <v>65</v>
      </c>
      <c r="F11" s="28">
        <v>3.5</v>
      </c>
      <c r="G11" s="29">
        <v>2011</v>
      </c>
      <c r="I11" s="30">
        <f t="shared" si="0"/>
        <v>3.5</v>
      </c>
      <c r="J11" s="30">
        <f t="shared" si="0"/>
        <v>3.5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476</v>
      </c>
      <c r="C12" s="21" t="s">
        <v>48</v>
      </c>
      <c r="D12" s="21" t="s">
        <v>124</v>
      </c>
      <c r="E12" s="26" t="s">
        <v>65</v>
      </c>
      <c r="F12" s="28">
        <v>2.5</v>
      </c>
      <c r="G12" s="29">
        <v>2011</v>
      </c>
      <c r="I12" s="30">
        <f t="shared" si="0"/>
        <v>2.5</v>
      </c>
      <c r="J12" s="30">
        <f t="shared" si="0"/>
        <v>2.5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463</v>
      </c>
      <c r="C13" s="21" t="s">
        <v>50</v>
      </c>
      <c r="D13" s="21" t="s">
        <v>86</v>
      </c>
      <c r="E13" s="26" t="s">
        <v>65</v>
      </c>
      <c r="F13" s="28">
        <v>1.8</v>
      </c>
      <c r="G13" s="29">
        <v>2011</v>
      </c>
      <c r="I13" s="30">
        <f t="shared" si="0"/>
        <v>1.8</v>
      </c>
      <c r="J13" s="30">
        <f t="shared" si="0"/>
        <v>1.8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487</v>
      </c>
      <c r="C14" s="21" t="s">
        <v>48</v>
      </c>
      <c r="D14" s="21" t="s">
        <v>80</v>
      </c>
      <c r="E14" s="26" t="s">
        <v>65</v>
      </c>
      <c r="F14" s="28">
        <v>1.8</v>
      </c>
      <c r="G14" s="29">
        <v>2011</v>
      </c>
      <c r="I14" s="30">
        <f t="shared" si="0"/>
        <v>1.8</v>
      </c>
      <c r="J14" s="30">
        <f t="shared" si="0"/>
        <v>1.8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606</v>
      </c>
      <c r="C15" s="21" t="s">
        <v>48</v>
      </c>
      <c r="D15" s="21" t="s">
        <v>120</v>
      </c>
      <c r="E15" s="26" t="s">
        <v>65</v>
      </c>
      <c r="F15" s="28">
        <v>21.75</v>
      </c>
      <c r="G15" s="29">
        <v>2010</v>
      </c>
      <c r="I15" s="30">
        <f t="shared" si="0"/>
        <v>21.75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</row>
    <row r="16" spans="1:13" ht="12.75">
      <c r="A16" s="25">
        <v>12</v>
      </c>
      <c r="B16" s="34" t="s">
        <v>734</v>
      </c>
      <c r="C16" s="21" t="s">
        <v>51</v>
      </c>
      <c r="D16" s="21" t="s">
        <v>64</v>
      </c>
      <c r="E16" s="26" t="s">
        <v>65</v>
      </c>
      <c r="F16" s="28">
        <v>1.95</v>
      </c>
      <c r="G16" s="29">
        <v>2010</v>
      </c>
      <c r="I16" s="30">
        <f aca="true" t="shared" si="1" ref="I16:M29">+IF($G16&gt;=I$3,$F16,0)</f>
        <v>1.95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636</v>
      </c>
      <c r="C17" s="21" t="s">
        <v>46</v>
      </c>
      <c r="D17" s="21" t="s">
        <v>131</v>
      </c>
      <c r="E17" s="26" t="s">
        <v>65</v>
      </c>
      <c r="F17" s="28">
        <v>1.95</v>
      </c>
      <c r="G17" s="29">
        <v>2010</v>
      </c>
      <c r="I17" s="30">
        <f t="shared" si="1"/>
        <v>1.95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692</v>
      </c>
      <c r="C18" s="21" t="s">
        <v>52</v>
      </c>
      <c r="D18" s="21" t="s">
        <v>103</v>
      </c>
      <c r="E18" s="21" t="s">
        <v>65</v>
      </c>
      <c r="F18" s="32">
        <v>1.95</v>
      </c>
      <c r="G18" s="33">
        <v>2010</v>
      </c>
      <c r="I18" s="30">
        <f t="shared" si="1"/>
        <v>1.95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701</v>
      </c>
      <c r="C19" s="21" t="s">
        <v>51</v>
      </c>
      <c r="D19" s="21" t="s">
        <v>88</v>
      </c>
      <c r="E19" s="21" t="s">
        <v>65</v>
      </c>
      <c r="F19" s="32">
        <v>1.95</v>
      </c>
      <c r="G19" s="33">
        <v>2010</v>
      </c>
      <c r="I19" s="30">
        <f t="shared" si="1"/>
        <v>1.95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705</v>
      </c>
      <c r="C20" s="21" t="s">
        <v>48</v>
      </c>
      <c r="D20" s="21" t="s">
        <v>123</v>
      </c>
      <c r="E20" s="21" t="s">
        <v>65</v>
      </c>
      <c r="F20" s="28">
        <v>1.95</v>
      </c>
      <c r="G20" s="29">
        <v>2010</v>
      </c>
      <c r="I20" s="30">
        <f t="shared" si="1"/>
        <v>1.95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720</v>
      </c>
      <c r="C21" s="21" t="s">
        <v>47</v>
      </c>
      <c r="D21" s="21" t="s">
        <v>89</v>
      </c>
      <c r="E21" s="26" t="s">
        <v>65</v>
      </c>
      <c r="F21" s="28">
        <v>1.95</v>
      </c>
      <c r="G21" s="29">
        <v>2010</v>
      </c>
      <c r="I21" s="30">
        <f t="shared" si="1"/>
        <v>1.95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84</v>
      </c>
      <c r="C22" s="21" t="s">
        <v>47</v>
      </c>
      <c r="D22" s="21" t="s">
        <v>85</v>
      </c>
      <c r="E22" s="26" t="s">
        <v>65</v>
      </c>
      <c r="F22" s="28">
        <v>1.95</v>
      </c>
      <c r="G22" s="29">
        <v>2010</v>
      </c>
      <c r="I22" s="30">
        <f t="shared" si="1"/>
        <v>1.95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467</v>
      </c>
      <c r="C23" s="21" t="s">
        <v>47</v>
      </c>
      <c r="D23" s="21" t="s">
        <v>78</v>
      </c>
      <c r="E23" s="26" t="s">
        <v>65</v>
      </c>
      <c r="F23" s="28">
        <v>1.95</v>
      </c>
      <c r="G23" s="29">
        <v>2010</v>
      </c>
      <c r="I23" s="30">
        <f t="shared" si="1"/>
        <v>1.95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724</v>
      </c>
      <c r="C24" s="21" t="s">
        <v>51</v>
      </c>
      <c r="D24" s="21" t="s">
        <v>73</v>
      </c>
      <c r="E24" s="21" t="s">
        <v>65</v>
      </c>
      <c r="F24" s="32">
        <v>1.95</v>
      </c>
      <c r="G24" s="33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725</v>
      </c>
      <c r="C25" s="21" t="s">
        <v>51</v>
      </c>
      <c r="D25" s="21" t="s">
        <v>85</v>
      </c>
      <c r="E25" s="26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735</v>
      </c>
      <c r="C26" s="21" t="s">
        <v>46</v>
      </c>
      <c r="D26" s="21" t="s">
        <v>99</v>
      </c>
      <c r="E26" s="21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745</v>
      </c>
      <c r="C27" s="21" t="s">
        <v>46</v>
      </c>
      <c r="D27" s="21" t="s">
        <v>103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780</v>
      </c>
      <c r="C28" s="21" t="s">
        <v>49</v>
      </c>
      <c r="D28" s="21" t="s">
        <v>113</v>
      </c>
      <c r="E28" s="26" t="s">
        <v>65</v>
      </c>
      <c r="F28" s="32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147</v>
      </c>
      <c r="C29" s="21" t="s">
        <v>48</v>
      </c>
      <c r="D29" s="21" t="s">
        <v>123</v>
      </c>
      <c r="E29" s="26" t="s">
        <v>65</v>
      </c>
      <c r="F29" s="28">
        <v>1.35</v>
      </c>
      <c r="G29" s="29">
        <v>2010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177.09999999999982</v>
      </c>
      <c r="J31" s="36">
        <f>+SUM(J5:J29)</f>
        <v>128.64999999999998</v>
      </c>
      <c r="K31" s="36">
        <f>+SUM(K5:K29)</f>
        <v>3.8499999999999996</v>
      </c>
      <c r="L31" s="36">
        <f>+SUM(L5:L29)</f>
        <v>1.95</v>
      </c>
      <c r="M31" s="36">
        <f>+SUM(M5:M29)</f>
        <v>1.95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268</v>
      </c>
      <c r="C37" s="21" t="s">
        <v>48</v>
      </c>
      <c r="D37" s="21" t="s">
        <v>100</v>
      </c>
      <c r="E37" s="21">
        <v>2009</v>
      </c>
      <c r="F37" s="32">
        <v>5.5</v>
      </c>
      <c r="G37" s="33">
        <v>2011</v>
      </c>
      <c r="I37" s="30">
        <f aca="true" t="shared" si="2" ref="I37:I50">+CEILING(IF($I$35=E37,F37,IF($I$35&lt;=G37,F37*0.3,0)),0.05)</f>
        <v>1.6500000000000001</v>
      </c>
      <c r="J37" s="30">
        <f aca="true" t="shared" si="3" ref="J37:J50">+CEILING(IF($J$35&lt;=G37,F37*0.3,0),0.05)</f>
        <v>1.6500000000000001</v>
      </c>
      <c r="K37" s="30">
        <f aca="true" t="shared" si="4" ref="K37:K50">+CEILING(IF($K$35&lt;=G37,F37*0.3,0),0.05)</f>
        <v>0</v>
      </c>
      <c r="L37" s="30">
        <f aca="true" t="shared" si="5" ref="L37:L50">+CEILING(IF($L$35&lt;=G37,F37*0.3,0),0.05)</f>
        <v>0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20" t="s">
        <v>479</v>
      </c>
      <c r="C38" s="21" t="s">
        <v>48</v>
      </c>
      <c r="D38" s="21" t="s">
        <v>80</v>
      </c>
      <c r="E38" s="26">
        <v>2009</v>
      </c>
      <c r="F38" s="28">
        <v>1.8</v>
      </c>
      <c r="G38" s="29">
        <v>2011</v>
      </c>
      <c r="I38" s="30">
        <f t="shared" si="2"/>
        <v>0.55</v>
      </c>
      <c r="J38" s="30">
        <f t="shared" si="3"/>
        <v>0.55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373</v>
      </c>
      <c r="C39" s="21" t="s">
        <v>48</v>
      </c>
      <c r="D39" s="21" t="s">
        <v>101</v>
      </c>
      <c r="E39" s="26">
        <v>2009</v>
      </c>
      <c r="F39" s="28">
        <v>1.8</v>
      </c>
      <c r="G39" s="29">
        <v>2011</v>
      </c>
      <c r="I39" s="30">
        <f t="shared" si="2"/>
        <v>0.55</v>
      </c>
      <c r="J39" s="30">
        <f t="shared" si="3"/>
        <v>0.55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8" t="s">
        <v>481</v>
      </c>
      <c r="C40" s="21" t="s">
        <v>51</v>
      </c>
      <c r="D40" s="21" t="s">
        <v>64</v>
      </c>
      <c r="E40" s="26">
        <v>2010</v>
      </c>
      <c r="F40" s="28">
        <v>1.8</v>
      </c>
      <c r="G40" s="29">
        <v>2011</v>
      </c>
      <c r="I40" s="30">
        <f t="shared" si="2"/>
        <v>1.8</v>
      </c>
      <c r="J40" s="30">
        <f t="shared" si="3"/>
        <v>0.55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484</v>
      </c>
      <c r="C41" s="21" t="s">
        <v>51</v>
      </c>
      <c r="D41" s="21" t="s">
        <v>103</v>
      </c>
      <c r="E41" s="26">
        <v>2010</v>
      </c>
      <c r="F41" s="28">
        <v>1.8</v>
      </c>
      <c r="G41" s="29">
        <v>2011</v>
      </c>
      <c r="I41" s="30">
        <f t="shared" si="2"/>
        <v>1.8</v>
      </c>
      <c r="J41" s="30">
        <f t="shared" si="3"/>
        <v>0.55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127</v>
      </c>
      <c r="C42" s="21" t="s">
        <v>47</v>
      </c>
      <c r="D42" s="21" t="s">
        <v>69</v>
      </c>
      <c r="E42" s="26">
        <v>2009</v>
      </c>
      <c r="F42" s="28">
        <v>1.5</v>
      </c>
      <c r="G42" s="29">
        <v>2011</v>
      </c>
      <c r="I42" s="30">
        <f t="shared" si="2"/>
        <v>0.45</v>
      </c>
      <c r="J42" s="30">
        <f t="shared" si="3"/>
        <v>0.45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128</v>
      </c>
      <c r="C43" s="21" t="s">
        <v>51</v>
      </c>
      <c r="D43" s="21" t="s">
        <v>64</v>
      </c>
      <c r="E43" s="26">
        <v>2009</v>
      </c>
      <c r="F43" s="28">
        <v>6.25</v>
      </c>
      <c r="G43" s="29">
        <v>2010</v>
      </c>
      <c r="I43" s="30">
        <f t="shared" si="2"/>
        <v>1.9000000000000001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274</v>
      </c>
      <c r="C44" s="21" t="s">
        <v>51</v>
      </c>
      <c r="D44" s="21" t="s">
        <v>77</v>
      </c>
      <c r="E44" s="26">
        <v>2010</v>
      </c>
      <c r="F44" s="28">
        <v>5.95</v>
      </c>
      <c r="G44" s="29">
        <v>2010</v>
      </c>
      <c r="I44" s="30">
        <f>+CEILING(IF($I$35=E44,F44,IF($I$35&lt;=G44,F44*0.3,0)),0.05)</f>
        <v>5.95</v>
      </c>
      <c r="J44" s="30">
        <f>+CEILING(IF($J$35&lt;=G44,F44*0.3,0),0.05)</f>
        <v>0</v>
      </c>
      <c r="K44" s="30">
        <f>+CEILING(IF($K$35&lt;=G44,F44*0.3,0),0.05)</f>
        <v>0</v>
      </c>
      <c r="L44" s="30">
        <f>+CEILING(IF($L$35&lt;=G44,F44*0.3,0),0.05)</f>
        <v>0</v>
      </c>
      <c r="M44" s="30">
        <f>CEILING(IF($M$35&lt;=G44,F44*0.3,0),0.05)</f>
        <v>0</v>
      </c>
    </row>
    <row r="45" spans="1:13" ht="12.75">
      <c r="A45" s="25">
        <v>9</v>
      </c>
      <c r="B45" s="20" t="s">
        <v>164</v>
      </c>
      <c r="C45" s="21" t="s">
        <v>51</v>
      </c>
      <c r="D45" s="21" t="s">
        <v>86</v>
      </c>
      <c r="E45" s="26">
        <v>2009</v>
      </c>
      <c r="F45" s="32">
        <v>4.05</v>
      </c>
      <c r="G45" s="29">
        <v>2010</v>
      </c>
      <c r="I45" s="30">
        <f t="shared" si="2"/>
        <v>1.25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635</v>
      </c>
      <c r="C46" s="21" t="s">
        <v>47</v>
      </c>
      <c r="D46" s="21" t="s">
        <v>88</v>
      </c>
      <c r="E46" s="26">
        <v>2010</v>
      </c>
      <c r="F46" s="32">
        <v>1.95</v>
      </c>
      <c r="G46" s="29">
        <v>2010</v>
      </c>
      <c r="I46" s="30">
        <f t="shared" si="2"/>
        <v>1.9500000000000002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464</v>
      </c>
      <c r="C47" s="21" t="s">
        <v>46</v>
      </c>
      <c r="D47" s="21" t="s">
        <v>141</v>
      </c>
      <c r="E47" s="26">
        <v>2010</v>
      </c>
      <c r="F47" s="28">
        <v>1.95</v>
      </c>
      <c r="G47" s="29">
        <v>2010</v>
      </c>
      <c r="I47" s="30">
        <f t="shared" si="2"/>
        <v>1.9500000000000002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759</v>
      </c>
      <c r="C48" s="21" t="s">
        <v>49</v>
      </c>
      <c r="D48" s="21" t="s">
        <v>71</v>
      </c>
      <c r="E48" s="26">
        <v>2010</v>
      </c>
      <c r="F48" s="32">
        <v>1.95</v>
      </c>
      <c r="G48" s="29">
        <v>2010</v>
      </c>
      <c r="I48" s="30">
        <f t="shared" si="2"/>
        <v>1.9500000000000002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 t="s">
        <v>129</v>
      </c>
      <c r="C49" s="21" t="s">
        <v>48</v>
      </c>
      <c r="D49" s="21" t="s">
        <v>88</v>
      </c>
      <c r="E49" s="26">
        <v>2009</v>
      </c>
      <c r="F49" s="28">
        <v>1.35</v>
      </c>
      <c r="G49" s="29">
        <v>2010</v>
      </c>
      <c r="I49" s="30">
        <f t="shared" si="2"/>
        <v>0.45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22.199999999999996</v>
      </c>
      <c r="J52" s="36">
        <f>+SUM(J37:J51)</f>
        <v>4.3</v>
      </c>
      <c r="K52" s="36">
        <f>+SUM(K37:K51)</f>
        <v>0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61" t="s">
        <v>104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105</v>
      </c>
      <c r="C56" s="23"/>
      <c r="D56" s="23"/>
      <c r="E56" s="23"/>
      <c r="F56" s="23" t="s">
        <v>106</v>
      </c>
      <c r="G56" s="23" t="s">
        <v>27</v>
      </c>
      <c r="I56" s="24">
        <f>+I$3</f>
        <v>2010</v>
      </c>
      <c r="J56" s="24">
        <f>+J$3</f>
        <v>2011</v>
      </c>
      <c r="K56" s="24">
        <f>+K$3</f>
        <v>2012</v>
      </c>
      <c r="L56" s="24">
        <f>+L$3</f>
        <v>2013</v>
      </c>
      <c r="M56" s="24">
        <f>+M$3</f>
        <v>2014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9"/>
      <c r="C58" s="59"/>
      <c r="D58" s="59"/>
      <c r="E58" s="59"/>
      <c r="F58" s="27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9"/>
      <c r="C59" s="59"/>
      <c r="D59" s="59"/>
      <c r="E59" s="59"/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9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572</v>
      </c>
      <c r="C5" s="21" t="s">
        <v>48</v>
      </c>
      <c r="D5" s="21" t="s">
        <v>83</v>
      </c>
      <c r="E5" s="26" t="s">
        <v>65</v>
      </c>
      <c r="F5" s="32">
        <v>28.35</v>
      </c>
      <c r="G5" s="33">
        <v>2014</v>
      </c>
      <c r="I5" s="30">
        <f aca="true" t="shared" si="0" ref="I5:M14">+IF($G5&gt;=I$3,$F5,0)</f>
        <v>28.35</v>
      </c>
      <c r="J5" s="30">
        <f t="shared" si="0"/>
        <v>28.35</v>
      </c>
      <c r="K5" s="30">
        <f t="shared" si="0"/>
        <v>28.35</v>
      </c>
      <c r="L5" s="30">
        <f t="shared" si="0"/>
        <v>28.35</v>
      </c>
      <c r="M5" s="30">
        <f t="shared" si="0"/>
        <v>28.35</v>
      </c>
    </row>
    <row r="6" spans="1:13" ht="12.75">
      <c r="A6" s="25">
        <v>2</v>
      </c>
      <c r="B6" s="20" t="s">
        <v>528</v>
      </c>
      <c r="C6" s="21" t="s">
        <v>47</v>
      </c>
      <c r="D6" s="21" t="s">
        <v>69</v>
      </c>
      <c r="E6" s="26" t="s">
        <v>65</v>
      </c>
      <c r="F6" s="28">
        <v>5.35</v>
      </c>
      <c r="G6" s="29">
        <v>2014</v>
      </c>
      <c r="I6" s="30">
        <f t="shared" si="0"/>
        <v>5.35</v>
      </c>
      <c r="J6" s="30">
        <f t="shared" si="0"/>
        <v>5.35</v>
      </c>
      <c r="K6" s="30">
        <f t="shared" si="0"/>
        <v>5.35</v>
      </c>
      <c r="L6" s="30">
        <f t="shared" si="0"/>
        <v>5.35</v>
      </c>
      <c r="M6" s="30">
        <f t="shared" si="0"/>
        <v>5.35</v>
      </c>
    </row>
    <row r="7" spans="1:13" ht="12.75">
      <c r="A7" s="25">
        <v>3</v>
      </c>
      <c r="B7" s="20" t="s">
        <v>679</v>
      </c>
      <c r="C7" s="21" t="s">
        <v>51</v>
      </c>
      <c r="D7" s="21" t="s">
        <v>100</v>
      </c>
      <c r="E7" s="21" t="s">
        <v>65</v>
      </c>
      <c r="F7" s="28">
        <v>3.7</v>
      </c>
      <c r="G7" s="29">
        <v>2014</v>
      </c>
      <c r="I7" s="30">
        <f t="shared" si="0"/>
        <v>3.7</v>
      </c>
      <c r="J7" s="30">
        <f t="shared" si="0"/>
        <v>3.7</v>
      </c>
      <c r="K7" s="30">
        <f t="shared" si="0"/>
        <v>3.7</v>
      </c>
      <c r="L7" s="30">
        <f t="shared" si="0"/>
        <v>3.7</v>
      </c>
      <c r="M7" s="30">
        <f t="shared" si="0"/>
        <v>3.7</v>
      </c>
    </row>
    <row r="8" spans="1:13" ht="12.75">
      <c r="A8" s="25">
        <v>4</v>
      </c>
      <c r="B8" s="20" t="s">
        <v>678</v>
      </c>
      <c r="C8" s="21" t="s">
        <v>52</v>
      </c>
      <c r="D8" s="21" t="s">
        <v>73</v>
      </c>
      <c r="E8" s="21" t="s">
        <v>65</v>
      </c>
      <c r="F8" s="28">
        <v>3.2</v>
      </c>
      <c r="G8" s="29">
        <v>2014</v>
      </c>
      <c r="I8" s="30">
        <f t="shared" si="0"/>
        <v>3.2</v>
      </c>
      <c r="J8" s="30">
        <f t="shared" si="0"/>
        <v>3.2</v>
      </c>
      <c r="K8" s="30">
        <f t="shared" si="0"/>
        <v>3.2</v>
      </c>
      <c r="L8" s="30">
        <f t="shared" si="0"/>
        <v>3.2</v>
      </c>
      <c r="M8" s="30">
        <f t="shared" si="0"/>
        <v>3.2</v>
      </c>
    </row>
    <row r="9" spans="1:13" ht="12.75">
      <c r="A9" s="25">
        <v>5</v>
      </c>
      <c r="B9" s="20" t="s">
        <v>551</v>
      </c>
      <c r="C9" s="21" t="s">
        <v>46</v>
      </c>
      <c r="D9" s="21" t="s">
        <v>123</v>
      </c>
      <c r="E9" s="21" t="s">
        <v>65</v>
      </c>
      <c r="F9" s="32">
        <v>1.95</v>
      </c>
      <c r="G9" s="33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1.95</v>
      </c>
    </row>
    <row r="10" spans="1:13" ht="12.75">
      <c r="A10" s="25">
        <v>6</v>
      </c>
      <c r="B10" s="20" t="s">
        <v>762</v>
      </c>
      <c r="C10" s="21" t="s">
        <v>51</v>
      </c>
      <c r="D10" s="21" t="s">
        <v>75</v>
      </c>
      <c r="E10" s="21" t="s">
        <v>65</v>
      </c>
      <c r="F10" s="28">
        <v>1.95</v>
      </c>
      <c r="G10" s="29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1.95</v>
      </c>
    </row>
    <row r="11" spans="1:13" ht="12.75">
      <c r="A11" s="25">
        <v>7</v>
      </c>
      <c r="B11" s="20" t="s">
        <v>459</v>
      </c>
      <c r="C11" s="21" t="s">
        <v>51</v>
      </c>
      <c r="D11" s="21" t="s">
        <v>123</v>
      </c>
      <c r="E11" s="26" t="s">
        <v>65</v>
      </c>
      <c r="F11" s="28">
        <v>1.8</v>
      </c>
      <c r="G11" s="29">
        <v>2013</v>
      </c>
      <c r="I11" s="30">
        <f t="shared" si="0"/>
        <v>1.8</v>
      </c>
      <c r="J11" s="30">
        <f t="shared" si="0"/>
        <v>1.8</v>
      </c>
      <c r="K11" s="30">
        <f t="shared" si="0"/>
        <v>1.8</v>
      </c>
      <c r="L11" s="30">
        <f t="shared" si="0"/>
        <v>1.8</v>
      </c>
      <c r="M11" s="30">
        <f t="shared" si="0"/>
        <v>0</v>
      </c>
    </row>
    <row r="12" spans="1:13" ht="12.75">
      <c r="A12" s="25">
        <v>8</v>
      </c>
      <c r="B12" s="20" t="s">
        <v>462</v>
      </c>
      <c r="C12" s="21" t="s">
        <v>49</v>
      </c>
      <c r="D12" s="21" t="s">
        <v>73</v>
      </c>
      <c r="E12" s="26" t="s">
        <v>65</v>
      </c>
      <c r="F12" s="28">
        <v>1.8</v>
      </c>
      <c r="G12" s="29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1.8</v>
      </c>
      <c r="M12" s="30">
        <f t="shared" si="0"/>
        <v>0</v>
      </c>
    </row>
    <row r="13" spans="1:13" ht="12.75">
      <c r="A13" s="25">
        <v>9</v>
      </c>
      <c r="B13" s="20" t="s">
        <v>342</v>
      </c>
      <c r="C13" s="21" t="s">
        <v>51</v>
      </c>
      <c r="D13" s="21" t="s">
        <v>85</v>
      </c>
      <c r="E13" s="21" t="s">
        <v>65</v>
      </c>
      <c r="F13" s="28">
        <v>3.3</v>
      </c>
      <c r="G13" s="29">
        <v>2012</v>
      </c>
      <c r="I13" s="30">
        <f t="shared" si="0"/>
        <v>3.3</v>
      </c>
      <c r="J13" s="30">
        <f t="shared" si="0"/>
        <v>3.3</v>
      </c>
      <c r="K13" s="30">
        <f t="shared" si="0"/>
        <v>3.3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343</v>
      </c>
      <c r="C14" s="21" t="s">
        <v>51</v>
      </c>
      <c r="D14" s="21" t="s">
        <v>141</v>
      </c>
      <c r="E14" s="21" t="s">
        <v>65</v>
      </c>
      <c r="F14" s="32">
        <v>2.5</v>
      </c>
      <c r="G14" s="33">
        <v>2012</v>
      </c>
      <c r="I14" s="30">
        <f t="shared" si="0"/>
        <v>2.5</v>
      </c>
      <c r="J14" s="30">
        <f t="shared" si="0"/>
        <v>2.5</v>
      </c>
      <c r="K14" s="30">
        <f t="shared" si="0"/>
        <v>2.5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666</v>
      </c>
      <c r="C15" s="21" t="s">
        <v>52</v>
      </c>
      <c r="D15" s="21" t="s">
        <v>120</v>
      </c>
      <c r="E15" s="26" t="s">
        <v>65</v>
      </c>
      <c r="F15" s="28">
        <v>1.95</v>
      </c>
      <c r="G15" s="29">
        <v>2012</v>
      </c>
      <c r="I15" s="30">
        <f aca="true" t="shared" si="1" ref="I15:M29">+IF($G15&gt;=I$3,$F15,0)</f>
        <v>1.95</v>
      </c>
      <c r="J15" s="30">
        <f t="shared" si="1"/>
        <v>1.95</v>
      </c>
      <c r="K15" s="30">
        <f t="shared" si="1"/>
        <v>1.95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677</v>
      </c>
      <c r="C16" s="21" t="s">
        <v>50</v>
      </c>
      <c r="D16" s="21" t="s">
        <v>97</v>
      </c>
      <c r="E16" s="21" t="s">
        <v>65</v>
      </c>
      <c r="F16" s="32">
        <v>1.95</v>
      </c>
      <c r="G16" s="33">
        <v>2012</v>
      </c>
      <c r="I16" s="30">
        <f t="shared" si="1"/>
        <v>1.95</v>
      </c>
      <c r="J16" s="30">
        <f t="shared" si="1"/>
        <v>1.95</v>
      </c>
      <c r="K16" s="30">
        <f t="shared" si="1"/>
        <v>1.95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136</v>
      </c>
      <c r="C17" s="21" t="s">
        <v>48</v>
      </c>
      <c r="D17" s="21" t="s">
        <v>71</v>
      </c>
      <c r="E17" s="26" t="s">
        <v>65</v>
      </c>
      <c r="F17" s="32">
        <v>1.65</v>
      </c>
      <c r="G17" s="33">
        <v>2012</v>
      </c>
      <c r="I17" s="30">
        <f t="shared" si="1"/>
        <v>1.65</v>
      </c>
      <c r="J17" s="30">
        <f t="shared" si="1"/>
        <v>1.65</v>
      </c>
      <c r="K17" s="30">
        <f t="shared" si="1"/>
        <v>1.65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510</v>
      </c>
      <c r="C18" s="21" t="s">
        <v>47</v>
      </c>
      <c r="D18" s="21" t="s">
        <v>98</v>
      </c>
      <c r="E18" s="21" t="s">
        <v>65</v>
      </c>
      <c r="F18" s="28">
        <v>45.25</v>
      </c>
      <c r="G18" s="29">
        <v>2011</v>
      </c>
      <c r="I18" s="30">
        <f t="shared" si="1"/>
        <v>45.25</v>
      </c>
      <c r="J18" s="30">
        <f t="shared" si="1"/>
        <v>45.25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302</v>
      </c>
      <c r="C19" s="21" t="s">
        <v>46</v>
      </c>
      <c r="D19" s="21" t="s">
        <v>123</v>
      </c>
      <c r="E19" s="21" t="s">
        <v>65</v>
      </c>
      <c r="F19" s="28">
        <v>8.95</v>
      </c>
      <c r="G19" s="29">
        <v>2011</v>
      </c>
      <c r="I19" s="30">
        <f t="shared" si="1"/>
        <v>8.95</v>
      </c>
      <c r="J19" s="30">
        <f t="shared" si="1"/>
        <v>8.95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605</v>
      </c>
      <c r="C20" s="21" t="s">
        <v>49</v>
      </c>
      <c r="D20" s="21" t="s">
        <v>82</v>
      </c>
      <c r="E20" s="21" t="s">
        <v>65</v>
      </c>
      <c r="F20" s="28">
        <v>8.15</v>
      </c>
      <c r="G20" s="29">
        <v>2011</v>
      </c>
      <c r="I20" s="30">
        <f t="shared" si="1"/>
        <v>8.15</v>
      </c>
      <c r="J20" s="30">
        <f t="shared" si="1"/>
        <v>8.15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345</v>
      </c>
      <c r="C21" s="21" t="s">
        <v>48</v>
      </c>
      <c r="D21" s="21" t="s">
        <v>69</v>
      </c>
      <c r="E21" s="21" t="s">
        <v>65</v>
      </c>
      <c r="F21" s="28">
        <v>6.6</v>
      </c>
      <c r="G21" s="29">
        <v>2011</v>
      </c>
      <c r="I21" s="30">
        <f t="shared" si="1"/>
        <v>6.6</v>
      </c>
      <c r="J21" s="30">
        <f t="shared" si="1"/>
        <v>6.6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454</v>
      </c>
      <c r="C22" s="21" t="s">
        <v>48</v>
      </c>
      <c r="D22" s="21" t="s">
        <v>87</v>
      </c>
      <c r="E22" s="21" t="s">
        <v>65</v>
      </c>
      <c r="F22" s="28">
        <v>6.25</v>
      </c>
      <c r="G22" s="29">
        <v>2011</v>
      </c>
      <c r="I22" s="30">
        <f t="shared" si="1"/>
        <v>6.25</v>
      </c>
      <c r="J22" s="30">
        <f t="shared" si="1"/>
        <v>6.25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717</v>
      </c>
      <c r="C23" s="21" t="s">
        <v>51</v>
      </c>
      <c r="D23" s="21" t="s">
        <v>101</v>
      </c>
      <c r="E23" s="21" t="s">
        <v>65</v>
      </c>
      <c r="F23" s="28">
        <v>1.95</v>
      </c>
      <c r="G23" s="29">
        <v>2010</v>
      </c>
      <c r="I23" s="30">
        <f t="shared" si="1"/>
        <v>1.95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425</v>
      </c>
      <c r="C24" s="21" t="s">
        <v>48</v>
      </c>
      <c r="D24" s="21" t="s">
        <v>159</v>
      </c>
      <c r="E24" s="26" t="s">
        <v>65</v>
      </c>
      <c r="F24" s="28">
        <v>39.5</v>
      </c>
      <c r="G24" s="29">
        <v>2010</v>
      </c>
      <c r="I24" s="30">
        <f t="shared" si="1"/>
        <v>39.5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611</v>
      </c>
      <c r="C25" s="21" t="s">
        <v>46</v>
      </c>
      <c r="D25" s="21" t="s">
        <v>87</v>
      </c>
      <c r="E25" s="21" t="s">
        <v>65</v>
      </c>
      <c r="F25" s="28">
        <v>10.15</v>
      </c>
      <c r="G25" s="29">
        <v>2010</v>
      </c>
      <c r="I25" s="30">
        <f t="shared" si="1"/>
        <v>10.15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142</v>
      </c>
      <c r="C26" s="21" t="s">
        <v>47</v>
      </c>
      <c r="D26" s="21" t="s">
        <v>100</v>
      </c>
      <c r="E26" s="26" t="s">
        <v>65</v>
      </c>
      <c r="F26" s="28">
        <v>7.35</v>
      </c>
      <c r="G26" s="29">
        <v>2010</v>
      </c>
      <c r="I26" s="30">
        <f t="shared" si="1"/>
        <v>7.35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723</v>
      </c>
      <c r="C27" s="21" t="s">
        <v>47</v>
      </c>
      <c r="D27" s="21" t="s">
        <v>88</v>
      </c>
      <c r="E27" s="21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507</v>
      </c>
      <c r="C28" s="21" t="s">
        <v>51</v>
      </c>
      <c r="D28" s="21" t="s">
        <v>80</v>
      </c>
      <c r="E28" s="21" t="s">
        <v>65</v>
      </c>
      <c r="F28" s="32">
        <v>1.95</v>
      </c>
      <c r="G28" s="33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753</v>
      </c>
      <c r="C29" s="21" t="s">
        <v>51</v>
      </c>
      <c r="D29" s="21" t="s">
        <v>64</v>
      </c>
      <c r="E29" s="26" t="s">
        <v>65</v>
      </c>
      <c r="F29" s="32">
        <v>1.95</v>
      </c>
      <c r="G29" s="33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32"/>
      <c r="G31" s="33"/>
      <c r="I31" s="36">
        <f>+SUM(I5:I29)</f>
        <v>199.45</v>
      </c>
      <c r="J31" s="36">
        <f>+SUM(J5:J29)</f>
        <v>134.65000000000003</v>
      </c>
      <c r="K31" s="36">
        <f>+SUM(K5:K29)</f>
        <v>59.45000000000001</v>
      </c>
      <c r="L31" s="36">
        <f>+SUM(L5:L29)</f>
        <v>48.10000000000001</v>
      </c>
      <c r="M31" s="36">
        <f>+SUM(M5:M29)</f>
        <v>44.500000000000014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665</v>
      </c>
      <c r="C37" s="21" t="s">
        <v>51</v>
      </c>
      <c r="D37" s="21" t="s">
        <v>75</v>
      </c>
      <c r="E37" s="21">
        <v>2010</v>
      </c>
      <c r="F37" s="28">
        <v>1.95</v>
      </c>
      <c r="G37" s="29">
        <v>2014</v>
      </c>
      <c r="I37" s="30">
        <f aca="true" t="shared" si="2" ref="I37:I49">+CEILING(IF($I$35=E37,F37,IF($I$35&lt;=G37,F37*0.3,0)),0.05)</f>
        <v>1.9500000000000002</v>
      </c>
      <c r="J37" s="30">
        <f aca="true" t="shared" si="3" ref="J37:J49">+CEILING(IF($J$35&lt;=G37,F37*0.3,0),0.05)</f>
        <v>0.6000000000000001</v>
      </c>
      <c r="K37" s="30">
        <f aca="true" t="shared" si="4" ref="K37:K49">+CEILING(IF($K$35&lt;=G37,F37*0.3,0),0.05)</f>
        <v>0.6000000000000001</v>
      </c>
      <c r="L37" s="30">
        <f aca="true" t="shared" si="5" ref="L37:L49">+CEILING(IF($L$35&lt;=G37,F37*0.3,0),0.05)</f>
        <v>0.6000000000000001</v>
      </c>
      <c r="M37" s="30">
        <f aca="true" t="shared" si="6" ref="M37:M49">CEILING(IF($M$35&lt;=G37,F37*0.3,0),0.05)</f>
        <v>0.6000000000000001</v>
      </c>
    </row>
    <row r="38" spans="1:13" ht="12.75">
      <c r="A38" s="25">
        <v>2</v>
      </c>
      <c r="B38" s="20" t="s">
        <v>371</v>
      </c>
      <c r="C38" s="21" t="s">
        <v>47</v>
      </c>
      <c r="D38" s="21" t="s">
        <v>131</v>
      </c>
      <c r="E38" s="21">
        <v>2009</v>
      </c>
      <c r="F38" s="28">
        <v>2.25</v>
      </c>
      <c r="G38" s="29">
        <v>2013</v>
      </c>
      <c r="I38" s="30">
        <f t="shared" si="2"/>
        <v>0.7000000000000001</v>
      </c>
      <c r="J38" s="30">
        <f t="shared" si="3"/>
        <v>0.7000000000000001</v>
      </c>
      <c r="K38" s="30">
        <f t="shared" si="4"/>
        <v>0.7000000000000001</v>
      </c>
      <c r="L38" s="30">
        <f t="shared" si="5"/>
        <v>0.7000000000000001</v>
      </c>
      <c r="M38" s="30">
        <f t="shared" si="6"/>
        <v>0</v>
      </c>
    </row>
    <row r="39" spans="1:13" ht="12.75">
      <c r="A39" s="25">
        <v>3</v>
      </c>
      <c r="B39" s="20" t="s">
        <v>442</v>
      </c>
      <c r="C39" s="21" t="s">
        <v>52</v>
      </c>
      <c r="D39" s="21" t="s">
        <v>132</v>
      </c>
      <c r="E39" s="21">
        <v>2009</v>
      </c>
      <c r="F39" s="28">
        <v>1.8</v>
      </c>
      <c r="G39" s="29">
        <v>2013</v>
      </c>
      <c r="I39" s="30">
        <f t="shared" si="2"/>
        <v>0.55</v>
      </c>
      <c r="J39" s="30">
        <f t="shared" si="3"/>
        <v>0.55</v>
      </c>
      <c r="K39" s="30">
        <f t="shared" si="4"/>
        <v>0.55</v>
      </c>
      <c r="L39" s="30">
        <f t="shared" si="5"/>
        <v>0.55</v>
      </c>
      <c r="M39" s="30">
        <f t="shared" si="6"/>
        <v>0</v>
      </c>
    </row>
    <row r="40" spans="1:13" ht="12.75">
      <c r="A40" s="25">
        <v>4</v>
      </c>
      <c r="B40" s="20" t="s">
        <v>344</v>
      </c>
      <c r="C40" s="21" t="s">
        <v>46</v>
      </c>
      <c r="D40" s="21" t="s">
        <v>120</v>
      </c>
      <c r="E40" s="21">
        <v>2008</v>
      </c>
      <c r="F40" s="28">
        <v>1.65</v>
      </c>
      <c r="G40" s="29">
        <v>2012</v>
      </c>
      <c r="I40" s="30">
        <f t="shared" si="2"/>
        <v>0.5</v>
      </c>
      <c r="J40" s="30">
        <f t="shared" si="3"/>
        <v>0.5</v>
      </c>
      <c r="K40" s="30">
        <f t="shared" si="4"/>
        <v>0.5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477</v>
      </c>
      <c r="C41" s="21" t="s">
        <v>50</v>
      </c>
      <c r="D41" s="21" t="s">
        <v>69</v>
      </c>
      <c r="E41" s="21">
        <v>2009</v>
      </c>
      <c r="F41" s="28">
        <v>1.8</v>
      </c>
      <c r="G41" s="29">
        <v>2011</v>
      </c>
      <c r="I41" s="30">
        <f t="shared" si="2"/>
        <v>0.55</v>
      </c>
      <c r="J41" s="30">
        <f t="shared" si="3"/>
        <v>0.55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451</v>
      </c>
      <c r="C42" s="21" t="s">
        <v>48</v>
      </c>
      <c r="D42" s="21" t="s">
        <v>85</v>
      </c>
      <c r="E42" s="21">
        <v>2009</v>
      </c>
      <c r="F42" s="28">
        <v>1.8</v>
      </c>
      <c r="G42" s="29">
        <v>2011</v>
      </c>
      <c r="I42" s="30">
        <f t="shared" si="2"/>
        <v>0.55</v>
      </c>
      <c r="J42" s="30">
        <f t="shared" si="3"/>
        <v>0.55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347</v>
      </c>
      <c r="C43" s="21" t="s">
        <v>52</v>
      </c>
      <c r="D43" s="21" t="s">
        <v>83</v>
      </c>
      <c r="E43" s="21">
        <v>2010</v>
      </c>
      <c r="F43" s="28">
        <v>1.5</v>
      </c>
      <c r="G43" s="29">
        <v>2011</v>
      </c>
      <c r="I43" s="30">
        <f t="shared" si="2"/>
        <v>1.5</v>
      </c>
      <c r="J43" s="30">
        <f t="shared" si="3"/>
        <v>0.45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170</v>
      </c>
      <c r="C44" s="21" t="s">
        <v>47</v>
      </c>
      <c r="D44" s="21" t="s">
        <v>103</v>
      </c>
      <c r="E44" s="21">
        <v>2009</v>
      </c>
      <c r="F44" s="28">
        <v>11.25</v>
      </c>
      <c r="G44" s="31">
        <v>2010</v>
      </c>
      <c r="I44" s="30">
        <f t="shared" si="2"/>
        <v>3.4000000000000004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348</v>
      </c>
      <c r="C45" s="21" t="s">
        <v>46</v>
      </c>
      <c r="D45" s="21" t="s">
        <v>89</v>
      </c>
      <c r="E45" s="21">
        <v>2010</v>
      </c>
      <c r="F45" s="28">
        <v>5.35</v>
      </c>
      <c r="G45" s="29">
        <v>2010</v>
      </c>
      <c r="I45" s="30">
        <f t="shared" si="2"/>
        <v>5.3500000000000005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573</v>
      </c>
      <c r="C46" s="21" t="s">
        <v>52</v>
      </c>
      <c r="D46" s="21" t="s">
        <v>131</v>
      </c>
      <c r="E46" s="21">
        <v>2010</v>
      </c>
      <c r="F46" s="32">
        <v>3.6</v>
      </c>
      <c r="G46" s="33">
        <v>2010</v>
      </c>
      <c r="I46" s="30">
        <f t="shared" si="2"/>
        <v>3.6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732</v>
      </c>
      <c r="C47" s="21" t="s">
        <v>50</v>
      </c>
      <c r="D47" s="21" t="s">
        <v>132</v>
      </c>
      <c r="E47" s="21">
        <v>2010</v>
      </c>
      <c r="F47" s="28">
        <v>1.95</v>
      </c>
      <c r="G47" s="29">
        <v>2010</v>
      </c>
      <c r="I47" s="30">
        <f t="shared" si="2"/>
        <v>1.9500000000000002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690</v>
      </c>
      <c r="C48" s="21" t="s">
        <v>51</v>
      </c>
      <c r="D48" s="21" t="s">
        <v>86</v>
      </c>
      <c r="E48" s="26">
        <v>2010</v>
      </c>
      <c r="F48" s="32">
        <v>1.95</v>
      </c>
      <c r="G48" s="33">
        <v>2010</v>
      </c>
      <c r="I48" s="30">
        <f t="shared" si="2"/>
        <v>1.9500000000000002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773</v>
      </c>
      <c r="C49" s="21" t="s">
        <v>51</v>
      </c>
      <c r="D49" s="21" t="s">
        <v>113</v>
      </c>
      <c r="E49" s="21">
        <v>2010</v>
      </c>
      <c r="F49" s="32">
        <v>1.95</v>
      </c>
      <c r="G49" s="33">
        <v>2010</v>
      </c>
      <c r="I49" s="30">
        <f t="shared" si="2"/>
        <v>1.9500000000000002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350</v>
      </c>
      <c r="C50" s="21" t="s">
        <v>46</v>
      </c>
      <c r="D50" s="21" t="s">
        <v>85</v>
      </c>
      <c r="E50" s="21">
        <v>2007</v>
      </c>
      <c r="F50" s="28">
        <v>1.35</v>
      </c>
      <c r="G50" s="29">
        <v>2010</v>
      </c>
      <c r="I50" s="30">
        <f>+CEILING(IF($I$35=E50,F50,IF($I$35&lt;=G50,F50*0.3,0)),0.05)</f>
        <v>0.45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1:13" ht="12.75">
      <c r="A51" s="25">
        <v>15</v>
      </c>
      <c r="D51" s="21"/>
      <c r="E51" s="21"/>
      <c r="F51" s="28"/>
      <c r="G51" s="29"/>
      <c r="I51" s="30">
        <f>+CEILING(IF($I$35=E51,F51,IF($I$35&lt;=G51,F51*0.3,0)),0.05)</f>
        <v>0</v>
      </c>
      <c r="J51" s="30">
        <f>+CEILING(IF($J$35&lt;=G51,F51*0.3,0),0.05)</f>
        <v>0</v>
      </c>
      <c r="K51" s="30">
        <f>+CEILING(IF($K$35&lt;=G51,F51*0.3,0),0.05)</f>
        <v>0</v>
      </c>
      <c r="L51" s="30">
        <f>+CEILING(IF($L$35&lt;=G51,F51*0.3,0),0.05)</f>
        <v>0</v>
      </c>
      <c r="M51" s="30">
        <f>CEILING(IF($M$35&lt;=G51,F51*0.3,0),0.05)</f>
        <v>0</v>
      </c>
    </row>
    <row r="52" spans="1:13" ht="12.75">
      <c r="A52" s="25">
        <v>16</v>
      </c>
      <c r="D52" s="21"/>
      <c r="E52" s="21"/>
      <c r="F52" s="28"/>
      <c r="G52" s="29"/>
      <c r="I52" s="30">
        <f>+CEILING(IF($I$35=E52,F52,IF($I$35&lt;=G52,F52*0.3,0)),0.05)</f>
        <v>0</v>
      </c>
      <c r="J52" s="30">
        <f>+CEILING(IF($J$35&lt;=G52,F52*0.3,0),0.05)</f>
        <v>0</v>
      </c>
      <c r="K52" s="30">
        <f>+CEILING(IF($K$35&lt;=G52,F52*0.3,0),0.05)</f>
        <v>0</v>
      </c>
      <c r="L52" s="30">
        <f>+CEILING(IF($L$35&lt;=G52,F52*0.3,0),0.05)</f>
        <v>0</v>
      </c>
      <c r="M52" s="30">
        <f>CEILING(IF($M$35&lt;=G52,F52*0.3,0),0.05)</f>
        <v>0</v>
      </c>
    </row>
    <row r="53" spans="1:13" ht="12.75">
      <c r="A53" s="25">
        <v>17</v>
      </c>
      <c r="D53" s="21"/>
      <c r="E53" s="21"/>
      <c r="F53" s="28"/>
      <c r="G53" s="29"/>
      <c r="I53" s="30">
        <f>+CEILING(IF($I$35=E53,F53,IF($I$35&lt;=G53,F53*0.3,0)),0.05)</f>
        <v>0</v>
      </c>
      <c r="J53" s="30">
        <f>+CEILING(IF($J$35&lt;=G53,F53*0.3,0),0.05)</f>
        <v>0</v>
      </c>
      <c r="K53" s="30">
        <f>+CEILING(IF($K$35&lt;=G53,F53*0.3,0),0.05)</f>
        <v>0</v>
      </c>
      <c r="L53" s="30">
        <f>+CEILING(IF($L$35&lt;=G53,F53*0.3,0),0.05)</f>
        <v>0</v>
      </c>
      <c r="M53" s="30">
        <f>CEILING(IF($M$35&lt;=G53,F53*0.3,0),0.05)</f>
        <v>0</v>
      </c>
    </row>
    <row r="54" spans="1:13" ht="12.75">
      <c r="A54" s="25">
        <v>18</v>
      </c>
      <c r="B54" s="34"/>
      <c r="D54" s="21"/>
      <c r="E54" s="21"/>
      <c r="F54" s="28"/>
      <c r="G54" s="29"/>
      <c r="I54" s="30">
        <f>+CEILING(IF($I$35=E54,F54,IF($I$35&lt;=G54,F54*0.3,0)),0.05)</f>
        <v>0</v>
      </c>
      <c r="J54" s="30">
        <f>+CEILING(IF($J$35&lt;=G54,F54*0.3,0),0.05)</f>
        <v>0</v>
      </c>
      <c r="K54" s="30">
        <f>+CEILING(IF($K$35&lt;=G54,F54*0.3,0),0.05)</f>
        <v>0</v>
      </c>
      <c r="L54" s="30">
        <f>+CEILING(IF($L$35&lt;=G54,F54*0.3,0),0.05)</f>
        <v>0</v>
      </c>
      <c r="M54" s="30">
        <f>CEILING(IF($M$35&lt;=G54,F54*0.3,0),0.05)</f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24.95</v>
      </c>
      <c r="J56" s="36">
        <f>+SUM(J37:J55)</f>
        <v>3.9000000000000004</v>
      </c>
      <c r="K56" s="36">
        <f>+SUM(K37:K55)</f>
        <v>2.3500000000000005</v>
      </c>
      <c r="L56" s="36">
        <f>+SUM(L37:L55)</f>
        <v>1.8500000000000003</v>
      </c>
      <c r="M56" s="36">
        <f>+SUM(M37:M55)</f>
        <v>0.6000000000000001</v>
      </c>
    </row>
    <row r="57" spans="9:13" ht="12.75">
      <c r="I57" s="37"/>
      <c r="J57" s="37"/>
      <c r="K57" s="37"/>
      <c r="L57" s="37"/>
      <c r="M57" s="37"/>
    </row>
    <row r="58" spans="1:13" ht="15.75">
      <c r="A58" s="61" t="s">
        <v>104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105</v>
      </c>
      <c r="C60" s="23"/>
      <c r="D60" s="23"/>
      <c r="E60" s="23"/>
      <c r="F60" s="23" t="s">
        <v>106</v>
      </c>
      <c r="G60" s="23" t="s">
        <v>27</v>
      </c>
      <c r="I60" s="24">
        <f>+I$3</f>
        <v>2010</v>
      </c>
      <c r="J60" s="24">
        <f>+J$3</f>
        <v>2011</v>
      </c>
      <c r="K60" s="24">
        <f>+K$3</f>
        <v>2012</v>
      </c>
      <c r="L60" s="24">
        <f>+L$3</f>
        <v>2013</v>
      </c>
      <c r="M60" s="24">
        <f>+M$3</f>
        <v>2014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59" t="s">
        <v>504</v>
      </c>
      <c r="C62" s="59"/>
      <c r="D62" s="59"/>
      <c r="E62" s="59"/>
      <c r="F62" s="28">
        <v>-8</v>
      </c>
      <c r="G62" s="29">
        <v>2010</v>
      </c>
      <c r="I62" s="39">
        <f>F62</f>
        <v>-8</v>
      </c>
      <c r="J62" s="39">
        <v>0</v>
      </c>
      <c r="K62" s="39">
        <v>0</v>
      </c>
      <c r="L62" s="39">
        <v>0</v>
      </c>
      <c r="M62" s="39">
        <v>0</v>
      </c>
    </row>
    <row r="63" spans="1:13" ht="12.75">
      <c r="A63" s="25">
        <v>2</v>
      </c>
      <c r="B63" s="59"/>
      <c r="C63" s="59"/>
      <c r="D63" s="59"/>
      <c r="E63" s="59"/>
      <c r="F63" s="28"/>
      <c r="G63" s="29"/>
      <c r="I63" s="39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-8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1">
      <selection activeCell="D43" sqref="D43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7" t="s">
        <v>506</v>
      </c>
      <c r="C5" s="21" t="s">
        <v>48</v>
      </c>
      <c r="D5" s="21" t="s">
        <v>82</v>
      </c>
      <c r="E5" s="26" t="s">
        <v>65</v>
      </c>
      <c r="F5" s="32">
        <v>45.75</v>
      </c>
      <c r="G5" s="33">
        <v>2014</v>
      </c>
      <c r="I5" s="30">
        <f aca="true" t="shared" si="0" ref="I5:M14">+IF($G5&gt;=I$3,$F5,0)</f>
        <v>45.75</v>
      </c>
      <c r="J5" s="30">
        <f t="shared" si="0"/>
        <v>45.75</v>
      </c>
      <c r="K5" s="30">
        <f t="shared" si="0"/>
        <v>45.75</v>
      </c>
      <c r="L5" s="30">
        <f t="shared" si="0"/>
        <v>45.75</v>
      </c>
      <c r="M5" s="30">
        <f t="shared" si="0"/>
        <v>45.75</v>
      </c>
    </row>
    <row r="6" spans="1:13" ht="12.75">
      <c r="A6" s="25">
        <v>2</v>
      </c>
      <c r="B6" s="47" t="s">
        <v>494</v>
      </c>
      <c r="C6" s="21" t="s">
        <v>48</v>
      </c>
      <c r="D6" s="21" t="s">
        <v>123</v>
      </c>
      <c r="E6" s="26" t="s">
        <v>65</v>
      </c>
      <c r="F6" s="28">
        <v>11.65</v>
      </c>
      <c r="G6" s="29">
        <v>2014</v>
      </c>
      <c r="I6" s="30">
        <f t="shared" si="0"/>
        <v>11.65</v>
      </c>
      <c r="J6" s="30">
        <f t="shared" si="0"/>
        <v>11.65</v>
      </c>
      <c r="K6" s="30">
        <f t="shared" si="0"/>
        <v>11.65</v>
      </c>
      <c r="L6" s="30">
        <f t="shared" si="0"/>
        <v>11.65</v>
      </c>
      <c r="M6" s="30">
        <f t="shared" si="0"/>
        <v>11.65</v>
      </c>
    </row>
    <row r="7" spans="1:13" ht="12.75">
      <c r="A7" s="25">
        <v>3</v>
      </c>
      <c r="B7" s="20" t="s">
        <v>613</v>
      </c>
      <c r="C7" s="21" t="s">
        <v>51</v>
      </c>
      <c r="D7" s="21" t="s">
        <v>64</v>
      </c>
      <c r="E7" s="26" t="s">
        <v>65</v>
      </c>
      <c r="F7" s="28">
        <v>4.2</v>
      </c>
      <c r="G7" s="29">
        <v>2014</v>
      </c>
      <c r="I7" s="30">
        <f t="shared" si="0"/>
        <v>4.2</v>
      </c>
      <c r="J7" s="30">
        <f t="shared" si="0"/>
        <v>4.2</v>
      </c>
      <c r="K7" s="30">
        <f t="shared" si="0"/>
        <v>4.2</v>
      </c>
      <c r="L7" s="30">
        <f t="shared" si="0"/>
        <v>4.2</v>
      </c>
      <c r="M7" s="30">
        <f t="shared" si="0"/>
        <v>4.2</v>
      </c>
    </row>
    <row r="8" spans="1:13" ht="12.75">
      <c r="A8" s="25">
        <v>4</v>
      </c>
      <c r="B8" s="47" t="s">
        <v>495</v>
      </c>
      <c r="C8" s="21" t="s">
        <v>52</v>
      </c>
      <c r="D8" s="21" t="s">
        <v>69</v>
      </c>
      <c r="E8" s="26" t="s">
        <v>65</v>
      </c>
      <c r="F8" s="28">
        <v>1.95</v>
      </c>
      <c r="G8" s="29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1.95</v>
      </c>
    </row>
    <row r="9" spans="1:13" ht="12.75">
      <c r="A9" s="25">
        <v>5</v>
      </c>
      <c r="B9" s="20" t="s">
        <v>655</v>
      </c>
      <c r="C9" s="21" t="s">
        <v>47</v>
      </c>
      <c r="D9" s="21" t="s">
        <v>82</v>
      </c>
      <c r="E9" s="26" t="s">
        <v>65</v>
      </c>
      <c r="F9" s="28">
        <v>1.95</v>
      </c>
      <c r="G9" s="29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1.95</v>
      </c>
    </row>
    <row r="10" spans="1:13" ht="12.75">
      <c r="A10" s="25">
        <v>6</v>
      </c>
      <c r="B10" s="20" t="s">
        <v>418</v>
      </c>
      <c r="C10" s="21" t="s">
        <v>46</v>
      </c>
      <c r="D10" s="21" t="s">
        <v>98</v>
      </c>
      <c r="E10" s="26" t="s">
        <v>65</v>
      </c>
      <c r="F10" s="28">
        <v>30.25</v>
      </c>
      <c r="G10" s="29">
        <v>2013</v>
      </c>
      <c r="I10" s="30">
        <f t="shared" si="0"/>
        <v>30.25</v>
      </c>
      <c r="J10" s="30">
        <f t="shared" si="0"/>
        <v>30.25</v>
      </c>
      <c r="K10" s="30">
        <f t="shared" si="0"/>
        <v>30.25</v>
      </c>
      <c r="L10" s="30">
        <f t="shared" si="0"/>
        <v>30.25</v>
      </c>
      <c r="M10" s="30">
        <f t="shared" si="0"/>
        <v>0</v>
      </c>
    </row>
    <row r="11" spans="1:13" ht="12.75">
      <c r="A11" s="25">
        <v>7</v>
      </c>
      <c r="B11" s="47" t="s">
        <v>369</v>
      </c>
      <c r="C11" s="21" t="s">
        <v>47</v>
      </c>
      <c r="D11" s="21" t="s">
        <v>89</v>
      </c>
      <c r="E11" s="26" t="s">
        <v>65</v>
      </c>
      <c r="F11" s="28">
        <v>11.5</v>
      </c>
      <c r="G11" s="29">
        <v>2013</v>
      </c>
      <c r="I11" s="30">
        <f t="shared" si="0"/>
        <v>11.5</v>
      </c>
      <c r="J11" s="30">
        <f t="shared" si="0"/>
        <v>11.5</v>
      </c>
      <c r="K11" s="30">
        <f t="shared" si="0"/>
        <v>11.5</v>
      </c>
      <c r="L11" s="30">
        <f t="shared" si="0"/>
        <v>11.5</v>
      </c>
      <c r="M11" s="30">
        <f t="shared" si="0"/>
        <v>0</v>
      </c>
    </row>
    <row r="12" spans="1:13" ht="12.75">
      <c r="A12" s="25">
        <v>8</v>
      </c>
      <c r="B12" s="47" t="s">
        <v>483</v>
      </c>
      <c r="C12" s="21" t="s">
        <v>47</v>
      </c>
      <c r="D12" s="21" t="s">
        <v>87</v>
      </c>
      <c r="E12" s="26" t="s">
        <v>65</v>
      </c>
      <c r="F12" s="28">
        <v>4.55</v>
      </c>
      <c r="G12" s="29">
        <v>2013</v>
      </c>
      <c r="I12" s="30">
        <f t="shared" si="0"/>
        <v>4.55</v>
      </c>
      <c r="J12" s="30">
        <f t="shared" si="0"/>
        <v>4.55</v>
      </c>
      <c r="K12" s="30">
        <f t="shared" si="0"/>
        <v>4.55</v>
      </c>
      <c r="L12" s="30">
        <f t="shared" si="0"/>
        <v>4.55</v>
      </c>
      <c r="M12" s="30">
        <f t="shared" si="0"/>
        <v>0</v>
      </c>
    </row>
    <row r="13" spans="1:13" ht="12.75">
      <c r="A13" s="25">
        <v>9</v>
      </c>
      <c r="B13" s="47" t="s">
        <v>370</v>
      </c>
      <c r="C13" s="21" t="s">
        <v>48</v>
      </c>
      <c r="D13" s="21" t="s">
        <v>86</v>
      </c>
      <c r="E13" s="26" t="s">
        <v>65</v>
      </c>
      <c r="F13" s="28">
        <v>1.8</v>
      </c>
      <c r="G13" s="29">
        <v>2013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1.8</v>
      </c>
      <c r="M13" s="30">
        <f t="shared" si="0"/>
        <v>0</v>
      </c>
    </row>
    <row r="14" spans="1:13" ht="12.75">
      <c r="A14" s="25">
        <v>10</v>
      </c>
      <c r="B14" s="47" t="s">
        <v>542</v>
      </c>
      <c r="C14" s="21" t="s">
        <v>49</v>
      </c>
      <c r="D14" s="21" t="s">
        <v>99</v>
      </c>
      <c r="E14" s="26" t="s">
        <v>65</v>
      </c>
      <c r="F14" s="28">
        <v>5.65</v>
      </c>
      <c r="G14" s="29">
        <v>2012</v>
      </c>
      <c r="I14" s="30">
        <f t="shared" si="0"/>
        <v>5.65</v>
      </c>
      <c r="J14" s="30">
        <f t="shared" si="0"/>
        <v>5.65</v>
      </c>
      <c r="K14" s="30">
        <f t="shared" si="0"/>
        <v>5.65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654</v>
      </c>
      <c r="C15" s="21" t="s">
        <v>51</v>
      </c>
      <c r="D15" s="21" t="s">
        <v>73</v>
      </c>
      <c r="E15" s="26" t="s">
        <v>65</v>
      </c>
      <c r="F15" s="28">
        <v>2.45</v>
      </c>
      <c r="G15" s="29">
        <v>2012</v>
      </c>
      <c r="I15" s="30">
        <f aca="true" t="shared" si="1" ref="I15:M29">+IF($G15&gt;=I$3,$F15,0)</f>
        <v>2.45</v>
      </c>
      <c r="J15" s="30">
        <f t="shared" si="1"/>
        <v>2.45</v>
      </c>
      <c r="K15" s="30">
        <f t="shared" si="1"/>
        <v>2.45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7" t="s">
        <v>353</v>
      </c>
      <c r="C16" s="21" t="s">
        <v>51</v>
      </c>
      <c r="D16" s="21" t="s">
        <v>132</v>
      </c>
      <c r="E16" s="26" t="s">
        <v>65</v>
      </c>
      <c r="F16" s="32">
        <v>2.15</v>
      </c>
      <c r="G16" s="33">
        <v>2012</v>
      </c>
      <c r="I16" s="30">
        <f t="shared" si="1"/>
        <v>2.15</v>
      </c>
      <c r="J16" s="30">
        <f t="shared" si="1"/>
        <v>2.15</v>
      </c>
      <c r="K16" s="30">
        <f t="shared" si="1"/>
        <v>2.15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47" t="s">
        <v>466</v>
      </c>
      <c r="C17" s="21" t="s">
        <v>48</v>
      </c>
      <c r="D17" s="21" t="s">
        <v>141</v>
      </c>
      <c r="E17" s="26" t="s">
        <v>65</v>
      </c>
      <c r="F17" s="28">
        <v>2.05</v>
      </c>
      <c r="G17" s="29">
        <v>2012</v>
      </c>
      <c r="I17" s="30">
        <f t="shared" si="1"/>
        <v>2.05</v>
      </c>
      <c r="J17" s="30">
        <f t="shared" si="1"/>
        <v>2.05</v>
      </c>
      <c r="K17" s="30">
        <f t="shared" si="1"/>
        <v>2.05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8" t="s">
        <v>354</v>
      </c>
      <c r="C18" s="21" t="s">
        <v>51</v>
      </c>
      <c r="D18" s="21" t="s">
        <v>98</v>
      </c>
      <c r="E18" s="26" t="s">
        <v>65</v>
      </c>
      <c r="F18" s="28">
        <v>1.65</v>
      </c>
      <c r="G18" s="29">
        <v>2012</v>
      </c>
      <c r="I18" s="30">
        <f t="shared" si="1"/>
        <v>1.65</v>
      </c>
      <c r="J18" s="30">
        <f t="shared" si="1"/>
        <v>1.65</v>
      </c>
      <c r="K18" s="30">
        <f t="shared" si="1"/>
        <v>1.65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8" t="s">
        <v>356</v>
      </c>
      <c r="C19" s="21" t="s">
        <v>48</v>
      </c>
      <c r="D19" s="21" t="s">
        <v>124</v>
      </c>
      <c r="E19" s="26" t="s">
        <v>65</v>
      </c>
      <c r="F19" s="28">
        <v>13.05</v>
      </c>
      <c r="G19" s="29">
        <v>2011</v>
      </c>
      <c r="I19" s="30">
        <f t="shared" si="1"/>
        <v>13.05</v>
      </c>
      <c r="J19" s="30">
        <f t="shared" si="1"/>
        <v>13.05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8" t="s">
        <v>161</v>
      </c>
      <c r="C20" s="21" t="s">
        <v>51</v>
      </c>
      <c r="D20" s="21" t="s">
        <v>103</v>
      </c>
      <c r="E20" s="26" t="s">
        <v>65</v>
      </c>
      <c r="F20" s="28">
        <v>7.4</v>
      </c>
      <c r="G20" s="29">
        <v>2011</v>
      </c>
      <c r="I20" s="30">
        <f t="shared" si="1"/>
        <v>7.4</v>
      </c>
      <c r="J20" s="30">
        <f t="shared" si="1"/>
        <v>7.4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149</v>
      </c>
      <c r="C21" s="21" t="s">
        <v>47</v>
      </c>
      <c r="D21" s="21" t="s">
        <v>78</v>
      </c>
      <c r="E21" s="26" t="s">
        <v>65</v>
      </c>
      <c r="F21" s="28">
        <v>3.5</v>
      </c>
      <c r="G21" s="29">
        <v>2011</v>
      </c>
      <c r="I21" s="30">
        <f t="shared" si="1"/>
        <v>3.5</v>
      </c>
      <c r="J21" s="30">
        <f t="shared" si="1"/>
        <v>3.5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449</v>
      </c>
      <c r="C22" s="21" t="s">
        <v>50</v>
      </c>
      <c r="D22" s="21" t="s">
        <v>77</v>
      </c>
      <c r="E22" s="26" t="s">
        <v>65</v>
      </c>
      <c r="F22" s="28">
        <v>2.05</v>
      </c>
      <c r="G22" s="29">
        <v>2011</v>
      </c>
      <c r="I22" s="30">
        <f t="shared" si="1"/>
        <v>2.05</v>
      </c>
      <c r="J22" s="30">
        <f t="shared" si="1"/>
        <v>2.05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358</v>
      </c>
      <c r="C23" s="21" t="s">
        <v>48</v>
      </c>
      <c r="D23" s="21" t="s">
        <v>71</v>
      </c>
      <c r="E23" s="26" t="s">
        <v>65</v>
      </c>
      <c r="F23" s="28">
        <v>1.5</v>
      </c>
      <c r="G23" s="29">
        <v>2011</v>
      </c>
      <c r="I23" s="30">
        <f t="shared" si="1"/>
        <v>1.5</v>
      </c>
      <c r="J23" s="30">
        <f t="shared" si="1"/>
        <v>1.5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598</v>
      </c>
      <c r="C24" s="21" t="s">
        <v>50</v>
      </c>
      <c r="D24" s="21" t="s">
        <v>131</v>
      </c>
      <c r="E24" s="26" t="s">
        <v>65</v>
      </c>
      <c r="F24" s="28">
        <v>2.45</v>
      </c>
      <c r="G24" s="29">
        <v>2010</v>
      </c>
      <c r="I24" s="30">
        <f t="shared" si="1"/>
        <v>2.45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783</v>
      </c>
      <c r="C25" s="21" t="s">
        <v>52</v>
      </c>
      <c r="D25" s="21" t="s">
        <v>100</v>
      </c>
      <c r="E25" s="26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7" t="s">
        <v>711</v>
      </c>
      <c r="C26" s="21" t="s">
        <v>47</v>
      </c>
      <c r="D26" s="21" t="s">
        <v>88</v>
      </c>
      <c r="E26" s="26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455</v>
      </c>
      <c r="C27" s="21" t="s">
        <v>49</v>
      </c>
      <c r="D27" s="21" t="s">
        <v>100</v>
      </c>
      <c r="E27" s="26" t="s">
        <v>65</v>
      </c>
      <c r="F27" s="28">
        <v>1.8</v>
      </c>
      <c r="G27" s="29">
        <v>2010</v>
      </c>
      <c r="I27" s="30">
        <f t="shared" si="1"/>
        <v>1.8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360</v>
      </c>
      <c r="C28" s="21" t="s">
        <v>51</v>
      </c>
      <c r="D28" s="21" t="s">
        <v>71</v>
      </c>
      <c r="E28" s="26" t="s">
        <v>65</v>
      </c>
      <c r="F28" s="28">
        <v>1.35</v>
      </c>
      <c r="G28" s="29">
        <v>2010</v>
      </c>
      <c r="I28" s="30">
        <f t="shared" si="1"/>
        <v>1.35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47"/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164.55</v>
      </c>
      <c r="J31" s="36">
        <f>+SUM(J5:J29)</f>
        <v>155.05000000000004</v>
      </c>
      <c r="K31" s="36">
        <f>+SUM(K5:K29)</f>
        <v>127.55000000000001</v>
      </c>
      <c r="L31" s="36">
        <f>+SUM(L5:L29)</f>
        <v>113.6</v>
      </c>
      <c r="M31" s="36">
        <f>+SUM(M5:M29)</f>
        <v>65.5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668</v>
      </c>
      <c r="C37" s="21" t="s">
        <v>52</v>
      </c>
      <c r="D37" s="21" t="s">
        <v>71</v>
      </c>
      <c r="E37" s="26">
        <v>2010</v>
      </c>
      <c r="F37" s="28">
        <v>1.95</v>
      </c>
      <c r="G37" s="29">
        <v>2014</v>
      </c>
      <c r="I37" s="30">
        <f aca="true" t="shared" si="2" ref="I37:I46">+CEILING(IF($I$35=E37,F37,IF($I$35&lt;=G37,F37*0.3,0)),0.05)</f>
        <v>1.9500000000000002</v>
      </c>
      <c r="J37" s="30">
        <f aca="true" t="shared" si="3" ref="J37:J46">+CEILING(IF($J$35&lt;=G37,F37*0.3,0),0.05)</f>
        <v>0.6000000000000001</v>
      </c>
      <c r="K37" s="30">
        <f aca="true" t="shared" si="4" ref="K37:K46">+CEILING(IF($K$35&lt;=G37,F37*0.3,0),0.05)</f>
        <v>0.6000000000000001</v>
      </c>
      <c r="L37" s="30">
        <f aca="true" t="shared" si="5" ref="L37:L46">+CEILING(IF($L$35&lt;=G37,F37*0.3,0),0.05)</f>
        <v>0.6000000000000001</v>
      </c>
      <c r="M37" s="30">
        <f aca="true" t="shared" si="6" ref="M37:M46">CEILING(IF($M$35&lt;=G37,F37*0.3,0),0.05)</f>
        <v>0.6000000000000001</v>
      </c>
    </row>
    <row r="38" spans="1:13" ht="12.75">
      <c r="A38" s="25">
        <v>2</v>
      </c>
      <c r="B38" s="47" t="s">
        <v>121</v>
      </c>
      <c r="C38" s="21" t="s">
        <v>48</v>
      </c>
      <c r="D38" s="21" t="s">
        <v>97</v>
      </c>
      <c r="E38" s="26">
        <v>2009</v>
      </c>
      <c r="F38" s="28">
        <v>30</v>
      </c>
      <c r="G38" s="29">
        <v>2013</v>
      </c>
      <c r="I38" s="30">
        <f t="shared" si="2"/>
        <v>9</v>
      </c>
      <c r="J38" s="30">
        <f t="shared" si="3"/>
        <v>9</v>
      </c>
      <c r="K38" s="30">
        <f t="shared" si="4"/>
        <v>9</v>
      </c>
      <c r="L38" s="30">
        <f t="shared" si="5"/>
        <v>9</v>
      </c>
      <c r="M38" s="30">
        <f t="shared" si="6"/>
        <v>0</v>
      </c>
    </row>
    <row r="39" spans="1:13" ht="12.75">
      <c r="A39" s="25">
        <v>3</v>
      </c>
      <c r="B39" s="47" t="s">
        <v>448</v>
      </c>
      <c r="C39" s="21" t="s">
        <v>48</v>
      </c>
      <c r="D39" s="21" t="s">
        <v>103</v>
      </c>
      <c r="E39" s="26">
        <v>2009</v>
      </c>
      <c r="F39" s="28">
        <v>10.1</v>
      </c>
      <c r="G39" s="29">
        <v>2013</v>
      </c>
      <c r="I39" s="30">
        <f t="shared" si="2"/>
        <v>3.0500000000000003</v>
      </c>
      <c r="J39" s="30">
        <f t="shared" si="3"/>
        <v>3.0500000000000003</v>
      </c>
      <c r="K39" s="30">
        <f t="shared" si="4"/>
        <v>3.0500000000000003</v>
      </c>
      <c r="L39" s="30">
        <f t="shared" si="5"/>
        <v>3.0500000000000003</v>
      </c>
      <c r="M39" s="30">
        <f t="shared" si="6"/>
        <v>0</v>
      </c>
    </row>
    <row r="40" spans="1:13" ht="12.75">
      <c r="A40" s="25">
        <v>4</v>
      </c>
      <c r="B40" s="47" t="s">
        <v>351</v>
      </c>
      <c r="C40" s="21" t="s">
        <v>52</v>
      </c>
      <c r="D40" s="21" t="s">
        <v>80</v>
      </c>
      <c r="E40" s="26">
        <v>2009</v>
      </c>
      <c r="F40" s="32">
        <v>5.75</v>
      </c>
      <c r="G40" s="33">
        <v>2012</v>
      </c>
      <c r="I40" s="30">
        <f t="shared" si="2"/>
        <v>1.75</v>
      </c>
      <c r="J40" s="30">
        <f t="shared" si="3"/>
        <v>1.75</v>
      </c>
      <c r="K40" s="30">
        <f t="shared" si="4"/>
        <v>1.75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248</v>
      </c>
      <c r="C41" s="21" t="s">
        <v>48</v>
      </c>
      <c r="D41" s="21" t="s">
        <v>83</v>
      </c>
      <c r="E41" s="26">
        <v>2008</v>
      </c>
      <c r="F41" s="28">
        <v>5.25</v>
      </c>
      <c r="G41" s="29">
        <v>2012</v>
      </c>
      <c r="I41" s="30">
        <f t="shared" si="2"/>
        <v>1.6</v>
      </c>
      <c r="J41" s="30">
        <f t="shared" si="3"/>
        <v>1.6</v>
      </c>
      <c r="K41" s="30">
        <f t="shared" si="4"/>
        <v>1.6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7" t="s">
        <v>352</v>
      </c>
      <c r="C42" s="21" t="s">
        <v>52</v>
      </c>
      <c r="D42" s="21" t="s">
        <v>103</v>
      </c>
      <c r="E42" s="26">
        <v>2009</v>
      </c>
      <c r="F42" s="28">
        <v>2.55</v>
      </c>
      <c r="G42" s="29">
        <v>2012</v>
      </c>
      <c r="I42" s="30">
        <f t="shared" si="2"/>
        <v>0.8</v>
      </c>
      <c r="J42" s="30">
        <f t="shared" si="3"/>
        <v>0.8</v>
      </c>
      <c r="K42" s="30">
        <f t="shared" si="4"/>
        <v>0.8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355</v>
      </c>
      <c r="C43" s="21" t="s">
        <v>48</v>
      </c>
      <c r="D43" s="21" t="s">
        <v>77</v>
      </c>
      <c r="E43" s="26">
        <v>2008</v>
      </c>
      <c r="F43" s="28">
        <v>1.65</v>
      </c>
      <c r="G43" s="29">
        <v>2012</v>
      </c>
      <c r="I43" s="30">
        <f t="shared" si="2"/>
        <v>0.5</v>
      </c>
      <c r="J43" s="30">
        <f t="shared" si="3"/>
        <v>0.5</v>
      </c>
      <c r="K43" s="30">
        <f t="shared" si="4"/>
        <v>0.5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47" t="s">
        <v>183</v>
      </c>
      <c r="C44" s="21" t="s">
        <v>51</v>
      </c>
      <c r="D44" s="21" t="s">
        <v>100</v>
      </c>
      <c r="E44" s="26">
        <v>2010</v>
      </c>
      <c r="F44" s="28">
        <v>1.65</v>
      </c>
      <c r="G44" s="29">
        <v>2012</v>
      </c>
      <c r="I44" s="30">
        <f t="shared" si="2"/>
        <v>1.6500000000000001</v>
      </c>
      <c r="J44" s="30">
        <f t="shared" si="3"/>
        <v>0.5</v>
      </c>
      <c r="K44" s="30">
        <f t="shared" si="4"/>
        <v>0.5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7" t="s">
        <v>467</v>
      </c>
      <c r="C45" s="21" t="s">
        <v>47</v>
      </c>
      <c r="D45" s="21" t="s">
        <v>132</v>
      </c>
      <c r="E45" s="26">
        <v>2010</v>
      </c>
      <c r="F45" s="28">
        <v>3.55</v>
      </c>
      <c r="G45" s="29">
        <v>2011</v>
      </c>
      <c r="I45" s="30">
        <f t="shared" si="2"/>
        <v>3.5500000000000003</v>
      </c>
      <c r="J45" s="30">
        <f t="shared" si="3"/>
        <v>1.1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357</v>
      </c>
      <c r="C46" s="21" t="s">
        <v>47</v>
      </c>
      <c r="D46" s="21" t="s">
        <v>73</v>
      </c>
      <c r="E46" s="26">
        <v>2009</v>
      </c>
      <c r="F46" s="28">
        <v>1.85</v>
      </c>
      <c r="G46" s="29">
        <v>2011</v>
      </c>
      <c r="I46" s="30">
        <f t="shared" si="2"/>
        <v>0.6000000000000001</v>
      </c>
      <c r="J46" s="30">
        <f t="shared" si="3"/>
        <v>0.6000000000000001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359</v>
      </c>
      <c r="C47" s="21" t="s">
        <v>47</v>
      </c>
      <c r="D47" s="21" t="s">
        <v>67</v>
      </c>
      <c r="E47" s="26">
        <v>2009</v>
      </c>
      <c r="F47" s="28">
        <v>1.5</v>
      </c>
      <c r="G47" s="31">
        <v>2011</v>
      </c>
      <c r="I47" s="30">
        <f>+CEILING(IF($I$35=E47,F47,IF($I$35&lt;=G47,F47*0.3,0)),0.05)</f>
        <v>0.45</v>
      </c>
      <c r="J47" s="30">
        <f>+CEILING(IF($J$35&lt;=G47,F47*0.3,0),0.05)</f>
        <v>0.45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47" t="s">
        <v>681</v>
      </c>
      <c r="C48" s="21" t="s">
        <v>47</v>
      </c>
      <c r="D48" s="21" t="s">
        <v>85</v>
      </c>
      <c r="E48" s="26">
        <v>2010</v>
      </c>
      <c r="F48" s="28">
        <v>19.95</v>
      </c>
      <c r="G48" s="29">
        <v>2010</v>
      </c>
      <c r="I48" s="30">
        <f>+CEILING(IF($I$35=E48,F48,IF($I$35&lt;=G48,F48*0.3,0)),0.05)</f>
        <v>19.950000000000003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B49" s="20" t="s">
        <v>221</v>
      </c>
      <c r="C49" s="21" t="s">
        <v>47</v>
      </c>
      <c r="D49" s="21" t="s">
        <v>123</v>
      </c>
      <c r="E49" s="26">
        <v>2010</v>
      </c>
      <c r="F49" s="32">
        <v>1.95</v>
      </c>
      <c r="G49" s="33">
        <v>2010</v>
      </c>
      <c r="I49" s="30">
        <f>+CEILING(IF($I$35=E49,F49,IF($I$35&lt;=G49,F49*0.3,0)),0.05)</f>
        <v>1.9500000000000002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1:13" ht="12.75">
      <c r="A50" s="25">
        <v>14</v>
      </c>
      <c r="B50" s="20" t="s">
        <v>225</v>
      </c>
      <c r="C50" s="21" t="s">
        <v>52</v>
      </c>
      <c r="D50" s="21" t="s">
        <v>113</v>
      </c>
      <c r="E50" s="26">
        <v>2010</v>
      </c>
      <c r="F50" s="28">
        <v>1.95</v>
      </c>
      <c r="G50" s="29">
        <v>2010</v>
      </c>
      <c r="I50" s="30">
        <f>+CEILING(IF($I$35=E50,F50,IF($I$35&lt;=G50,F50*0.3,0)),0.05)</f>
        <v>1.9500000000000002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48.750000000000014</v>
      </c>
      <c r="J52" s="36">
        <f>+SUM(J37:J51)</f>
        <v>19.950000000000003</v>
      </c>
      <c r="K52" s="36">
        <f>+SUM(K37:K51)</f>
        <v>17.8</v>
      </c>
      <c r="L52" s="36">
        <f>+SUM(L37:L51)</f>
        <v>12.65</v>
      </c>
      <c r="M52" s="36">
        <f>+SUM(M37:M51)</f>
        <v>0.6000000000000001</v>
      </c>
    </row>
    <row r="53" spans="9:13" ht="12.75">
      <c r="I53" s="37"/>
      <c r="J53" s="37"/>
      <c r="K53" s="37"/>
      <c r="L53" s="37"/>
      <c r="M53" s="37"/>
    </row>
    <row r="54" spans="1:13" ht="15.75">
      <c r="A54" s="61" t="s">
        <v>104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105</v>
      </c>
      <c r="C56" s="23"/>
      <c r="D56" s="23"/>
      <c r="E56" s="23"/>
      <c r="F56" s="23" t="s">
        <v>106</v>
      </c>
      <c r="G56" s="23" t="s">
        <v>27</v>
      </c>
      <c r="I56" s="24">
        <f>+I$3</f>
        <v>2010</v>
      </c>
      <c r="J56" s="24">
        <f>+J$3</f>
        <v>2011</v>
      </c>
      <c r="K56" s="24">
        <f>+K$3</f>
        <v>2012</v>
      </c>
      <c r="L56" s="24">
        <f>+L$3</f>
        <v>2013</v>
      </c>
      <c r="M56" s="24">
        <f>+M$3</f>
        <v>2014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9"/>
      <c r="C58" s="59"/>
      <c r="D58" s="59"/>
      <c r="E58" s="59"/>
      <c r="F58" s="27"/>
      <c r="G58" s="33"/>
      <c r="I58" s="39">
        <f>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9"/>
      <c r="C59" s="59"/>
      <c r="D59" s="59"/>
      <c r="E59" s="59"/>
      <c r="F59" s="27"/>
      <c r="G59" s="33"/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576</v>
      </c>
      <c r="C5" s="21" t="s">
        <v>48</v>
      </c>
      <c r="D5" s="21" t="s">
        <v>75</v>
      </c>
      <c r="E5" s="26" t="s">
        <v>65</v>
      </c>
      <c r="F5" s="28">
        <v>24.15</v>
      </c>
      <c r="G5" s="29">
        <v>2014</v>
      </c>
      <c r="I5" s="30">
        <f aca="true" t="shared" si="0" ref="I5:M14">+IF($G5&gt;=I$3,$F5,0)</f>
        <v>24.15</v>
      </c>
      <c r="J5" s="30">
        <f t="shared" si="0"/>
        <v>24.15</v>
      </c>
      <c r="K5" s="30">
        <f t="shared" si="0"/>
        <v>24.15</v>
      </c>
      <c r="L5" s="30">
        <f t="shared" si="0"/>
        <v>24.15</v>
      </c>
      <c r="M5" s="30">
        <f t="shared" si="0"/>
        <v>24.15</v>
      </c>
    </row>
    <row r="6" spans="1:13" ht="12.75">
      <c r="A6" s="25">
        <v>2</v>
      </c>
      <c r="B6" s="20" t="s">
        <v>646</v>
      </c>
      <c r="C6" s="21" t="s">
        <v>46</v>
      </c>
      <c r="D6" s="21" t="s">
        <v>87</v>
      </c>
      <c r="E6" s="21" t="s">
        <v>65</v>
      </c>
      <c r="F6" s="32">
        <v>9.75</v>
      </c>
      <c r="G6" s="33">
        <v>2014</v>
      </c>
      <c r="I6" s="30">
        <f t="shared" si="0"/>
        <v>9.75</v>
      </c>
      <c r="J6" s="30">
        <f t="shared" si="0"/>
        <v>9.75</v>
      </c>
      <c r="K6" s="30">
        <f t="shared" si="0"/>
        <v>9.75</v>
      </c>
      <c r="L6" s="30">
        <f t="shared" si="0"/>
        <v>9.75</v>
      </c>
      <c r="M6" s="30">
        <f t="shared" si="0"/>
        <v>9.75</v>
      </c>
    </row>
    <row r="7" spans="1:13" ht="12.75">
      <c r="A7" s="25">
        <v>3</v>
      </c>
      <c r="B7" s="20" t="s">
        <v>687</v>
      </c>
      <c r="C7" s="21" t="s">
        <v>51</v>
      </c>
      <c r="D7" s="21" t="s">
        <v>77</v>
      </c>
      <c r="E7" s="26" t="s">
        <v>65</v>
      </c>
      <c r="F7" s="28">
        <v>3.9</v>
      </c>
      <c r="G7" s="29">
        <v>2014</v>
      </c>
      <c r="I7" s="30">
        <f t="shared" si="0"/>
        <v>3.9</v>
      </c>
      <c r="J7" s="30">
        <f t="shared" si="0"/>
        <v>3.9</v>
      </c>
      <c r="K7" s="30">
        <f t="shared" si="0"/>
        <v>3.9</v>
      </c>
      <c r="L7" s="30">
        <f t="shared" si="0"/>
        <v>3.9</v>
      </c>
      <c r="M7" s="30">
        <f t="shared" si="0"/>
        <v>3.9</v>
      </c>
    </row>
    <row r="8" spans="1:13" ht="12.75">
      <c r="A8" s="25">
        <v>4</v>
      </c>
      <c r="B8" s="20" t="s">
        <v>554</v>
      </c>
      <c r="C8" s="21" t="s">
        <v>51</v>
      </c>
      <c r="D8" s="21" t="s">
        <v>89</v>
      </c>
      <c r="E8" s="26" t="s">
        <v>65</v>
      </c>
      <c r="F8" s="32">
        <v>1.95</v>
      </c>
      <c r="G8" s="33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1.95</v>
      </c>
    </row>
    <row r="9" spans="1:13" ht="12.75">
      <c r="A9" s="25">
        <v>5</v>
      </c>
      <c r="B9" s="34" t="s">
        <v>130</v>
      </c>
      <c r="C9" s="21" t="s">
        <v>46</v>
      </c>
      <c r="D9" s="21" t="s">
        <v>82</v>
      </c>
      <c r="E9" s="26" t="s">
        <v>65</v>
      </c>
      <c r="F9" s="28">
        <v>25</v>
      </c>
      <c r="G9" s="29">
        <v>2013</v>
      </c>
      <c r="I9" s="30">
        <f t="shared" si="0"/>
        <v>25</v>
      </c>
      <c r="J9" s="30">
        <f t="shared" si="0"/>
        <v>25</v>
      </c>
      <c r="K9" s="30">
        <f t="shared" si="0"/>
        <v>25</v>
      </c>
      <c r="L9" s="30">
        <f t="shared" si="0"/>
        <v>25</v>
      </c>
      <c r="M9" s="30">
        <f t="shared" si="0"/>
        <v>0</v>
      </c>
    </row>
    <row r="10" spans="1:13" ht="12.75">
      <c r="A10" s="25">
        <v>6</v>
      </c>
      <c r="B10" s="20" t="s">
        <v>423</v>
      </c>
      <c r="C10" s="21" t="s">
        <v>48</v>
      </c>
      <c r="D10" s="21" t="s">
        <v>77</v>
      </c>
      <c r="E10" s="21" t="s">
        <v>65</v>
      </c>
      <c r="F10" s="28">
        <v>10.5</v>
      </c>
      <c r="G10" s="29">
        <v>2013</v>
      </c>
      <c r="I10" s="30">
        <f t="shared" si="0"/>
        <v>10.5</v>
      </c>
      <c r="J10" s="30">
        <f t="shared" si="0"/>
        <v>10.5</v>
      </c>
      <c r="K10" s="30">
        <f t="shared" si="0"/>
        <v>10.5</v>
      </c>
      <c r="L10" s="30">
        <f t="shared" si="0"/>
        <v>10.5</v>
      </c>
      <c r="M10" s="30">
        <f t="shared" si="0"/>
        <v>0</v>
      </c>
    </row>
    <row r="11" spans="1:13" ht="12.75">
      <c r="A11" s="25">
        <v>7</v>
      </c>
      <c r="B11" s="20" t="s">
        <v>478</v>
      </c>
      <c r="C11" s="21" t="s">
        <v>47</v>
      </c>
      <c r="D11" s="21" t="s">
        <v>64</v>
      </c>
      <c r="E11" s="26" t="s">
        <v>65</v>
      </c>
      <c r="F11" s="28">
        <v>7.25</v>
      </c>
      <c r="G11" s="29">
        <v>2013</v>
      </c>
      <c r="I11" s="30">
        <f t="shared" si="0"/>
        <v>7.25</v>
      </c>
      <c r="J11" s="30">
        <f t="shared" si="0"/>
        <v>7.25</v>
      </c>
      <c r="K11" s="30">
        <f t="shared" si="0"/>
        <v>7.25</v>
      </c>
      <c r="L11" s="30">
        <f t="shared" si="0"/>
        <v>7.25</v>
      </c>
      <c r="M11" s="30">
        <f t="shared" si="0"/>
        <v>0</v>
      </c>
    </row>
    <row r="12" spans="1:13" ht="12.75">
      <c r="A12" s="25">
        <v>8</v>
      </c>
      <c r="B12" s="20" t="s">
        <v>367</v>
      </c>
      <c r="C12" s="21" t="s">
        <v>48</v>
      </c>
      <c r="D12" s="21" t="s">
        <v>141</v>
      </c>
      <c r="E12" s="26" t="s">
        <v>65</v>
      </c>
      <c r="F12" s="28">
        <v>1.8</v>
      </c>
      <c r="G12" s="29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1.8</v>
      </c>
      <c r="M12" s="30">
        <f t="shared" si="0"/>
        <v>0</v>
      </c>
    </row>
    <row r="13" spans="1:13" ht="12.75">
      <c r="A13" s="25">
        <v>9</v>
      </c>
      <c r="B13" s="20" t="s">
        <v>794</v>
      </c>
      <c r="C13" s="21" t="s">
        <v>51</v>
      </c>
      <c r="D13" s="21" t="s">
        <v>100</v>
      </c>
      <c r="E13" s="26" t="s">
        <v>65</v>
      </c>
      <c r="F13" s="28">
        <v>4.05</v>
      </c>
      <c r="G13" s="29">
        <v>2012</v>
      </c>
      <c r="I13" s="30">
        <f t="shared" si="0"/>
        <v>4.05</v>
      </c>
      <c r="J13" s="30">
        <f t="shared" si="0"/>
        <v>4.05</v>
      </c>
      <c r="K13" s="30">
        <f t="shared" si="0"/>
        <v>4.05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66</v>
      </c>
      <c r="C14" s="21" t="s">
        <v>52</v>
      </c>
      <c r="D14" s="21" t="s">
        <v>67</v>
      </c>
      <c r="E14" s="26" t="s">
        <v>65</v>
      </c>
      <c r="F14" s="28">
        <v>3.45</v>
      </c>
      <c r="G14" s="29">
        <v>2012</v>
      </c>
      <c r="I14" s="30">
        <f t="shared" si="0"/>
        <v>3.45</v>
      </c>
      <c r="J14" s="30">
        <f t="shared" si="0"/>
        <v>3.45</v>
      </c>
      <c r="K14" s="30">
        <f t="shared" si="0"/>
        <v>3.45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68</v>
      </c>
      <c r="C15" s="21" t="s">
        <v>47</v>
      </c>
      <c r="D15" s="21" t="s">
        <v>69</v>
      </c>
      <c r="E15" s="26" t="s">
        <v>65</v>
      </c>
      <c r="F15" s="28">
        <v>2.85</v>
      </c>
      <c r="G15" s="29">
        <v>2012</v>
      </c>
      <c r="I15" s="30">
        <f aca="true" t="shared" si="1" ref="I15:M29">+IF($G15&gt;=I$3,$F15,0)</f>
        <v>2.85</v>
      </c>
      <c r="J15" s="30">
        <f t="shared" si="1"/>
        <v>2.85</v>
      </c>
      <c r="K15" s="30">
        <f t="shared" si="1"/>
        <v>2.85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72</v>
      </c>
      <c r="C16" s="21" t="s">
        <v>48</v>
      </c>
      <c r="D16" s="21" t="s">
        <v>73</v>
      </c>
      <c r="E16" s="26" t="s">
        <v>65</v>
      </c>
      <c r="F16" s="28">
        <v>1.65</v>
      </c>
      <c r="G16" s="31">
        <v>2012</v>
      </c>
      <c r="I16" s="30">
        <f t="shared" si="1"/>
        <v>1.65</v>
      </c>
      <c r="J16" s="30">
        <f t="shared" si="1"/>
        <v>1.65</v>
      </c>
      <c r="K16" s="30">
        <f t="shared" si="1"/>
        <v>1.65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74</v>
      </c>
      <c r="C17" s="21" t="s">
        <v>47</v>
      </c>
      <c r="D17" s="21" t="s">
        <v>75</v>
      </c>
      <c r="E17" s="26" t="s">
        <v>65</v>
      </c>
      <c r="F17" s="28">
        <v>1.65</v>
      </c>
      <c r="G17" s="29">
        <v>2012</v>
      </c>
      <c r="I17" s="30">
        <f t="shared" si="1"/>
        <v>1.65</v>
      </c>
      <c r="J17" s="30">
        <f t="shared" si="1"/>
        <v>1.65</v>
      </c>
      <c r="K17" s="30">
        <f t="shared" si="1"/>
        <v>1.65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280</v>
      </c>
      <c r="C18" s="21" t="s">
        <v>49</v>
      </c>
      <c r="D18" s="21" t="s">
        <v>87</v>
      </c>
      <c r="E18" s="21" t="s">
        <v>65</v>
      </c>
      <c r="F18" s="28">
        <v>1.65</v>
      </c>
      <c r="G18" s="29">
        <v>2012</v>
      </c>
      <c r="I18" s="30">
        <f t="shared" si="1"/>
        <v>1.65</v>
      </c>
      <c r="J18" s="30">
        <f t="shared" si="1"/>
        <v>1.65</v>
      </c>
      <c r="K18" s="30">
        <f t="shared" si="1"/>
        <v>1.65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795</v>
      </c>
      <c r="C19" s="21" t="s">
        <v>49</v>
      </c>
      <c r="D19" s="21" t="s">
        <v>67</v>
      </c>
      <c r="E19" s="26" t="s">
        <v>65</v>
      </c>
      <c r="F19" s="28">
        <v>8.8</v>
      </c>
      <c r="G19" s="29">
        <v>2011</v>
      </c>
      <c r="I19" s="30">
        <f t="shared" si="1"/>
        <v>8.8</v>
      </c>
      <c r="J19" s="30">
        <f t="shared" si="1"/>
        <v>8.8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577</v>
      </c>
      <c r="C20" s="21" t="s">
        <v>51</v>
      </c>
      <c r="D20" s="21" t="s">
        <v>78</v>
      </c>
      <c r="E20" s="26" t="s">
        <v>65</v>
      </c>
      <c r="F20" s="28">
        <v>7.5</v>
      </c>
      <c r="G20" s="29">
        <v>2011</v>
      </c>
      <c r="I20" s="30">
        <f t="shared" si="1"/>
        <v>7.5</v>
      </c>
      <c r="J20" s="30">
        <f t="shared" si="1"/>
        <v>7.5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422</v>
      </c>
      <c r="C21" s="21" t="s">
        <v>51</v>
      </c>
      <c r="D21" s="21" t="s">
        <v>97</v>
      </c>
      <c r="E21" s="26" t="s">
        <v>65</v>
      </c>
      <c r="F21" s="32">
        <v>6.35</v>
      </c>
      <c r="G21" s="33">
        <v>2011</v>
      </c>
      <c r="I21" s="30">
        <f t="shared" si="1"/>
        <v>6.35</v>
      </c>
      <c r="J21" s="30">
        <f t="shared" si="1"/>
        <v>6.35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512</v>
      </c>
      <c r="C22" s="21" t="s">
        <v>50</v>
      </c>
      <c r="D22" s="21" t="s">
        <v>64</v>
      </c>
      <c r="E22" s="21" t="s">
        <v>65</v>
      </c>
      <c r="F22" s="28">
        <v>3.6</v>
      </c>
      <c r="G22" s="29">
        <v>2011</v>
      </c>
      <c r="I22" s="30">
        <f t="shared" si="1"/>
        <v>3.6</v>
      </c>
      <c r="J22" s="30">
        <f t="shared" si="1"/>
        <v>3.6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79</v>
      </c>
      <c r="C23" s="21" t="s">
        <v>52</v>
      </c>
      <c r="D23" s="21" t="s">
        <v>80</v>
      </c>
      <c r="E23" s="26" t="s">
        <v>65</v>
      </c>
      <c r="F23" s="28">
        <v>1.5</v>
      </c>
      <c r="G23" s="29">
        <v>2011</v>
      </c>
      <c r="I23" s="30">
        <f t="shared" si="1"/>
        <v>1.5</v>
      </c>
      <c r="J23" s="30">
        <f t="shared" si="1"/>
        <v>1.5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281</v>
      </c>
      <c r="C24" s="21" t="s">
        <v>48</v>
      </c>
      <c r="D24" s="21" t="s">
        <v>78</v>
      </c>
      <c r="E24" s="26" t="s">
        <v>65</v>
      </c>
      <c r="F24" s="28">
        <v>1.5</v>
      </c>
      <c r="G24" s="29">
        <v>2011</v>
      </c>
      <c r="I24" s="30">
        <f t="shared" si="1"/>
        <v>1.5</v>
      </c>
      <c r="J24" s="30">
        <f t="shared" si="1"/>
        <v>1.5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330</v>
      </c>
      <c r="C25" s="21" t="s">
        <v>47</v>
      </c>
      <c r="D25" s="21" t="s">
        <v>85</v>
      </c>
      <c r="E25" s="21" t="s">
        <v>65</v>
      </c>
      <c r="F25" s="28">
        <v>18.2</v>
      </c>
      <c r="G25" s="29">
        <v>2010</v>
      </c>
      <c r="I25" s="30">
        <f t="shared" si="1"/>
        <v>18.2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700</v>
      </c>
      <c r="C26" s="21" t="s">
        <v>46</v>
      </c>
      <c r="D26" s="21" t="s">
        <v>82</v>
      </c>
      <c r="E26" s="26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318</v>
      </c>
      <c r="C27" s="21" t="s">
        <v>51</v>
      </c>
      <c r="D27" s="21" t="s">
        <v>67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741</v>
      </c>
      <c r="C28" s="21" t="s">
        <v>48</v>
      </c>
      <c r="D28" s="21" t="s">
        <v>159</v>
      </c>
      <c r="E28" s="26" t="s">
        <v>65</v>
      </c>
      <c r="F28" s="32">
        <v>1.95</v>
      </c>
      <c r="G28" s="33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670</v>
      </c>
      <c r="C29" s="21" t="s">
        <v>52</v>
      </c>
      <c r="D29" s="21" t="s">
        <v>103</v>
      </c>
      <c r="E29" s="26" t="s">
        <v>65</v>
      </c>
      <c r="F29" s="28">
        <v>1.95</v>
      </c>
      <c r="G29" s="29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1"/>
      <c r="D31" s="47"/>
      <c r="E31" s="47"/>
      <c r="F31" s="47"/>
      <c r="G31" s="47"/>
      <c r="I31" s="36">
        <f>+SUM(I5:I29)</f>
        <v>154.84999999999994</v>
      </c>
      <c r="J31" s="36">
        <f>+SUM(J5:J29)</f>
        <v>128.85</v>
      </c>
      <c r="K31" s="36">
        <f>+SUM(K5:K29)</f>
        <v>99.60000000000001</v>
      </c>
      <c r="L31" s="36">
        <f>+SUM(L5:L29)</f>
        <v>84.3</v>
      </c>
      <c r="M31" s="36">
        <f>+SUM(M5:M29)</f>
        <v>39.75</v>
      </c>
    </row>
    <row r="33" spans="1:13" ht="16.5" customHeight="1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368</v>
      </c>
      <c r="C37" s="21" t="s">
        <v>49</v>
      </c>
      <c r="D37" s="21" t="s">
        <v>98</v>
      </c>
      <c r="E37" s="26">
        <v>2010</v>
      </c>
      <c r="F37" s="28">
        <v>1.8</v>
      </c>
      <c r="G37" s="29">
        <v>2013</v>
      </c>
      <c r="I37" s="30">
        <f aca="true" t="shared" si="2" ref="I37:I54">+CEILING(IF($I$35=E37,F37,IF($I$35&lt;=G37,F37*0.3,0)),0.05)</f>
        <v>1.8</v>
      </c>
      <c r="J37" s="30">
        <f aca="true" t="shared" si="3" ref="J37:J54">+CEILING(IF($J$35&lt;=G37,F37*0.3,0),0.05)</f>
        <v>0.55</v>
      </c>
      <c r="K37" s="30">
        <f aca="true" t="shared" si="4" ref="K37:K54">+CEILING(IF($K$35&lt;=G37,F37*0.3,0),0.05)</f>
        <v>0.55</v>
      </c>
      <c r="L37" s="30">
        <f aca="true" t="shared" si="5" ref="L37:L54">+CEILING(IF($L$35&lt;=G37,F37*0.3,0),0.05)</f>
        <v>0.55</v>
      </c>
      <c r="M37" s="30">
        <f aca="true" t="shared" si="6" ref="M37:M54">CEILING(IF($M$35&lt;=G37,F37*0.3,0),0.05)</f>
        <v>0</v>
      </c>
    </row>
    <row r="38" spans="1:13" ht="12.75">
      <c r="A38" s="25">
        <v>2</v>
      </c>
      <c r="B38" s="20" t="s">
        <v>63</v>
      </c>
      <c r="C38" s="21" t="s">
        <v>48</v>
      </c>
      <c r="D38" s="21" t="s">
        <v>64</v>
      </c>
      <c r="E38" s="26">
        <v>2010</v>
      </c>
      <c r="F38" s="28">
        <v>8.5</v>
      </c>
      <c r="G38" s="29">
        <v>2012</v>
      </c>
      <c r="I38" s="30">
        <f t="shared" si="2"/>
        <v>8.5</v>
      </c>
      <c r="J38" s="30">
        <f t="shared" si="3"/>
        <v>2.5500000000000003</v>
      </c>
      <c r="K38" s="30">
        <f t="shared" si="4"/>
        <v>2.5500000000000003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669</v>
      </c>
      <c r="C39" s="21" t="s">
        <v>51</v>
      </c>
      <c r="D39" s="21" t="s">
        <v>100</v>
      </c>
      <c r="E39" s="26">
        <v>2010</v>
      </c>
      <c r="F39" s="28">
        <v>4.05</v>
      </c>
      <c r="G39" s="29">
        <v>2012</v>
      </c>
      <c r="I39" s="30">
        <f t="shared" si="2"/>
        <v>4.05</v>
      </c>
      <c r="J39" s="30">
        <f t="shared" si="3"/>
        <v>1.25</v>
      </c>
      <c r="K39" s="30">
        <f t="shared" si="4"/>
        <v>1.25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70</v>
      </c>
      <c r="C40" s="21" t="s">
        <v>52</v>
      </c>
      <c r="D40" s="21" t="s">
        <v>71</v>
      </c>
      <c r="E40" s="26">
        <v>2009</v>
      </c>
      <c r="F40" s="28">
        <v>2.15</v>
      </c>
      <c r="G40" s="29">
        <v>2012</v>
      </c>
      <c r="I40" s="30">
        <f t="shared" si="2"/>
        <v>0.65</v>
      </c>
      <c r="J40" s="30">
        <f t="shared" si="3"/>
        <v>0.65</v>
      </c>
      <c r="K40" s="30">
        <f t="shared" si="4"/>
        <v>0.65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578</v>
      </c>
      <c r="C41" s="21" t="s">
        <v>47</v>
      </c>
      <c r="D41" s="21" t="s">
        <v>88</v>
      </c>
      <c r="E41" s="26">
        <v>2010</v>
      </c>
      <c r="F41" s="28">
        <v>8.8</v>
      </c>
      <c r="G41" s="29">
        <v>2011</v>
      </c>
      <c r="I41" s="30">
        <f t="shared" si="2"/>
        <v>8.8</v>
      </c>
      <c r="J41" s="30">
        <f t="shared" si="3"/>
        <v>2.6500000000000004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452</v>
      </c>
      <c r="C42" s="21" t="s">
        <v>47</v>
      </c>
      <c r="D42" s="21" t="s">
        <v>120</v>
      </c>
      <c r="E42" s="26">
        <v>2009</v>
      </c>
      <c r="F42" s="28">
        <v>7.2</v>
      </c>
      <c r="G42" s="29">
        <v>2011</v>
      </c>
      <c r="I42" s="30">
        <f t="shared" si="2"/>
        <v>2.2</v>
      </c>
      <c r="J42" s="30">
        <f t="shared" si="3"/>
        <v>2.2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76</v>
      </c>
      <c r="C43" s="21" t="s">
        <v>46</v>
      </c>
      <c r="D43" s="21" t="s">
        <v>77</v>
      </c>
      <c r="E43" s="26">
        <v>2010</v>
      </c>
      <c r="F43" s="28">
        <v>5.15</v>
      </c>
      <c r="G43" s="29">
        <v>2011</v>
      </c>
      <c r="I43" s="30">
        <f t="shared" si="2"/>
        <v>5.15</v>
      </c>
      <c r="J43" s="30">
        <f t="shared" si="3"/>
        <v>1.55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421</v>
      </c>
      <c r="C44" s="21" t="s">
        <v>51</v>
      </c>
      <c r="D44" s="21" t="s">
        <v>101</v>
      </c>
      <c r="E44" s="26">
        <v>2010</v>
      </c>
      <c r="F44" s="32">
        <v>4.1</v>
      </c>
      <c r="G44" s="33">
        <v>2011</v>
      </c>
      <c r="I44" s="30">
        <f t="shared" si="2"/>
        <v>4.1000000000000005</v>
      </c>
      <c r="J44" s="30">
        <f t="shared" si="3"/>
        <v>1.25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102</v>
      </c>
      <c r="C45" s="21" t="s">
        <v>51</v>
      </c>
      <c r="D45" s="21" t="s">
        <v>103</v>
      </c>
      <c r="E45" s="26">
        <v>2008</v>
      </c>
      <c r="F45" s="32">
        <v>3.95</v>
      </c>
      <c r="G45" s="33">
        <v>2011</v>
      </c>
      <c r="I45" s="30">
        <f t="shared" si="2"/>
        <v>1.2000000000000002</v>
      </c>
      <c r="J45" s="30">
        <f t="shared" si="3"/>
        <v>1.2000000000000002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95</v>
      </c>
      <c r="C46" s="21" t="s">
        <v>48</v>
      </c>
      <c r="D46" s="21" t="s">
        <v>77</v>
      </c>
      <c r="E46" s="26">
        <v>2008</v>
      </c>
      <c r="F46" s="32">
        <v>1.5</v>
      </c>
      <c r="G46" s="33">
        <v>2011</v>
      </c>
      <c r="I46" s="30">
        <f t="shared" si="2"/>
        <v>0.45</v>
      </c>
      <c r="J46" s="30">
        <f t="shared" si="3"/>
        <v>0.45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81</v>
      </c>
      <c r="C47" s="21" t="s">
        <v>51</v>
      </c>
      <c r="D47" s="21" t="s">
        <v>71</v>
      </c>
      <c r="E47" s="26">
        <v>2009</v>
      </c>
      <c r="F47" s="28">
        <v>6.4</v>
      </c>
      <c r="G47" s="29">
        <v>2010</v>
      </c>
      <c r="I47" s="30">
        <f t="shared" si="2"/>
        <v>1.9500000000000002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763</v>
      </c>
      <c r="C48" s="21" t="s">
        <v>51</v>
      </c>
      <c r="D48" s="21" t="s">
        <v>131</v>
      </c>
      <c r="E48" s="26">
        <v>2010</v>
      </c>
      <c r="F48" s="28">
        <v>1.95</v>
      </c>
      <c r="G48" s="29">
        <v>2010</v>
      </c>
      <c r="I48" s="30">
        <f t="shared" si="2"/>
        <v>1.9500000000000002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778</v>
      </c>
      <c r="C49" s="21" t="s">
        <v>50</v>
      </c>
      <c r="D49" s="21" t="s">
        <v>159</v>
      </c>
      <c r="E49" s="26">
        <v>2010</v>
      </c>
      <c r="F49" s="28">
        <v>1.95</v>
      </c>
      <c r="G49" s="29">
        <v>2010</v>
      </c>
      <c r="I49" s="30">
        <f t="shared" si="2"/>
        <v>1.9500000000000002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96</v>
      </c>
      <c r="C50" s="21" t="s">
        <v>47</v>
      </c>
      <c r="D50" s="21" t="s">
        <v>97</v>
      </c>
      <c r="E50" s="26">
        <v>2006</v>
      </c>
      <c r="F50" s="32">
        <v>1.35</v>
      </c>
      <c r="G50" s="33">
        <v>2010</v>
      </c>
      <c r="I50" s="30">
        <f t="shared" si="2"/>
        <v>0.45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34"/>
      <c r="D51" s="21"/>
      <c r="E51" s="26"/>
      <c r="F51" s="28"/>
      <c r="G51" s="29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D52" s="21"/>
      <c r="E52" s="26"/>
      <c r="F52" s="32"/>
      <c r="G52" s="33"/>
      <c r="I52" s="30">
        <f t="shared" si="2"/>
        <v>0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D53" s="21"/>
      <c r="E53" s="26"/>
      <c r="F53" s="32"/>
      <c r="G53" s="33"/>
      <c r="I53" s="30">
        <f t="shared" si="2"/>
        <v>0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B54" s="34"/>
      <c r="D54" s="21"/>
      <c r="E54" s="21"/>
      <c r="F54" s="28"/>
      <c r="G54" s="29"/>
      <c r="I54" s="30">
        <f t="shared" si="2"/>
        <v>0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43.200000000000024</v>
      </c>
      <c r="J56" s="36">
        <f>+SUM(J37:J55)</f>
        <v>14.3</v>
      </c>
      <c r="K56" s="36">
        <f>+SUM(K37:K55)</f>
        <v>5.000000000000001</v>
      </c>
      <c r="L56" s="36">
        <f>+SUM(L37:L55)</f>
        <v>0.55</v>
      </c>
      <c r="M56" s="36">
        <f>+SUM(M37:M55)</f>
        <v>0</v>
      </c>
    </row>
    <row r="57" spans="9:13" ht="12.75">
      <c r="I57" s="37"/>
      <c r="J57" s="37"/>
      <c r="K57" s="37"/>
      <c r="L57" s="37"/>
      <c r="M57" s="37"/>
    </row>
    <row r="58" spans="1:13" ht="16.5" customHeight="1">
      <c r="A58" s="61" t="s">
        <v>104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105</v>
      </c>
      <c r="C60" s="23"/>
      <c r="D60" s="23"/>
      <c r="E60" s="23"/>
      <c r="F60" s="23" t="s">
        <v>106</v>
      </c>
      <c r="G60" s="23" t="s">
        <v>27</v>
      </c>
      <c r="I60" s="24">
        <f>+I$3</f>
        <v>2010</v>
      </c>
      <c r="J60" s="24">
        <f>+J$3</f>
        <v>2011</v>
      </c>
      <c r="K60" s="24">
        <f>+K$3</f>
        <v>2012</v>
      </c>
      <c r="L60" s="24">
        <f>+L$3</f>
        <v>2013</v>
      </c>
      <c r="M60" s="24">
        <f>+M$3</f>
        <v>2014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59"/>
      <c r="C62" s="59"/>
      <c r="D62" s="59"/>
      <c r="E62" s="59"/>
      <c r="I62" s="38"/>
      <c r="J62" s="38"/>
      <c r="K62" s="38"/>
      <c r="L62" s="38"/>
      <c r="M62" s="38"/>
    </row>
    <row r="63" spans="1:13" ht="12.75">
      <c r="A63" s="25">
        <v>2</v>
      </c>
      <c r="B63" s="59"/>
      <c r="C63" s="59"/>
      <c r="D63" s="59"/>
      <c r="E63" s="59"/>
      <c r="I63" s="38"/>
      <c r="J63" s="38"/>
      <c r="K63" s="38"/>
      <c r="L63" s="38"/>
      <c r="M63" s="38"/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521</v>
      </c>
      <c r="C5" s="21" t="s">
        <v>47</v>
      </c>
      <c r="D5" s="21" t="s">
        <v>141</v>
      </c>
      <c r="E5" s="26" t="s">
        <v>65</v>
      </c>
      <c r="F5" s="32">
        <v>10.7</v>
      </c>
      <c r="G5" s="33">
        <v>2014</v>
      </c>
      <c r="I5" s="30">
        <f aca="true" t="shared" si="0" ref="I5:M14">+IF($G5&gt;=I$3,$F5,0)</f>
        <v>10.7</v>
      </c>
      <c r="J5" s="30">
        <f t="shared" si="0"/>
        <v>10.7</v>
      </c>
      <c r="K5" s="30">
        <f t="shared" si="0"/>
        <v>10.7</v>
      </c>
      <c r="L5" s="30">
        <f t="shared" si="0"/>
        <v>10.7</v>
      </c>
      <c r="M5" s="30">
        <f t="shared" si="0"/>
        <v>10.7</v>
      </c>
    </row>
    <row r="6" spans="1:13" ht="12.75">
      <c r="A6" s="25">
        <v>2</v>
      </c>
      <c r="B6" s="20" t="s">
        <v>664</v>
      </c>
      <c r="C6" s="21" t="s">
        <v>48</v>
      </c>
      <c r="D6" s="21" t="s">
        <v>120</v>
      </c>
      <c r="E6" s="26" t="s">
        <v>65</v>
      </c>
      <c r="F6" s="28">
        <v>1.95</v>
      </c>
      <c r="G6" s="29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20" t="s">
        <v>522</v>
      </c>
      <c r="C7" s="21" t="s">
        <v>51</v>
      </c>
      <c r="D7" s="21" t="s">
        <v>90</v>
      </c>
      <c r="E7" s="26" t="s">
        <v>65</v>
      </c>
      <c r="F7" s="28">
        <v>1.95</v>
      </c>
      <c r="G7" s="31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1.95</v>
      </c>
    </row>
    <row r="8" spans="1:13" ht="12.75">
      <c r="A8" s="25">
        <v>4</v>
      </c>
      <c r="B8" s="20" t="s">
        <v>629</v>
      </c>
      <c r="C8" s="21" t="s">
        <v>48</v>
      </c>
      <c r="D8" s="21" t="s">
        <v>98</v>
      </c>
      <c r="E8" s="26" t="s">
        <v>65</v>
      </c>
      <c r="F8" s="32">
        <v>1.95</v>
      </c>
      <c r="G8" s="33">
        <v>2014</v>
      </c>
      <c r="I8" s="30">
        <f t="shared" si="0"/>
        <v>1.95</v>
      </c>
      <c r="J8" s="30">
        <f t="shared" si="0"/>
        <v>1.95</v>
      </c>
      <c r="K8" s="30">
        <f t="shared" si="0"/>
        <v>1.95</v>
      </c>
      <c r="L8" s="30">
        <f t="shared" si="0"/>
        <v>1.95</v>
      </c>
      <c r="M8" s="30">
        <f t="shared" si="0"/>
        <v>1.95</v>
      </c>
    </row>
    <row r="9" spans="1:13" ht="12.75">
      <c r="A9" s="25">
        <v>5</v>
      </c>
      <c r="B9" s="20" t="s">
        <v>630</v>
      </c>
      <c r="C9" s="21" t="s">
        <v>51</v>
      </c>
      <c r="D9" s="21" t="s">
        <v>86</v>
      </c>
      <c r="E9" s="26" t="s">
        <v>65</v>
      </c>
      <c r="F9" s="32">
        <v>1.95</v>
      </c>
      <c r="G9" s="33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1.95</v>
      </c>
    </row>
    <row r="10" spans="1:13" ht="12.75">
      <c r="A10" s="25">
        <v>6</v>
      </c>
      <c r="B10" s="20" t="s">
        <v>652</v>
      </c>
      <c r="C10" s="21" t="s">
        <v>48</v>
      </c>
      <c r="D10" s="21" t="s">
        <v>67</v>
      </c>
      <c r="E10" s="26" t="s">
        <v>65</v>
      </c>
      <c r="F10" s="28">
        <v>1.95</v>
      </c>
      <c r="G10" s="29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1.95</v>
      </c>
    </row>
    <row r="11" spans="1:13" ht="12.75">
      <c r="A11" s="25">
        <v>7</v>
      </c>
      <c r="B11" s="20" t="s">
        <v>417</v>
      </c>
      <c r="C11" s="21" t="s">
        <v>47</v>
      </c>
      <c r="D11" s="21" t="s">
        <v>132</v>
      </c>
      <c r="E11" s="26" t="s">
        <v>65</v>
      </c>
      <c r="F11" s="28">
        <v>1.95</v>
      </c>
      <c r="G11" s="29">
        <v>2014</v>
      </c>
      <c r="I11" s="30">
        <f t="shared" si="0"/>
        <v>1.95</v>
      </c>
      <c r="J11" s="30">
        <f t="shared" si="0"/>
        <v>1.95</v>
      </c>
      <c r="K11" s="30">
        <f t="shared" si="0"/>
        <v>1.95</v>
      </c>
      <c r="L11" s="30">
        <f t="shared" si="0"/>
        <v>1.95</v>
      </c>
      <c r="M11" s="30">
        <f t="shared" si="0"/>
        <v>1.95</v>
      </c>
    </row>
    <row r="12" spans="1:13" ht="12.75">
      <c r="A12" s="25">
        <v>8</v>
      </c>
      <c r="B12" s="20" t="s">
        <v>653</v>
      </c>
      <c r="C12" s="21" t="s">
        <v>48</v>
      </c>
      <c r="D12" s="21" t="s">
        <v>89</v>
      </c>
      <c r="E12" s="26" t="s">
        <v>65</v>
      </c>
      <c r="F12" s="28">
        <v>1.95</v>
      </c>
      <c r="G12" s="29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1.95</v>
      </c>
    </row>
    <row r="13" spans="1:13" ht="12.75">
      <c r="A13" s="25">
        <v>9</v>
      </c>
      <c r="B13" s="20" t="s">
        <v>392</v>
      </c>
      <c r="C13" s="21" t="s">
        <v>49</v>
      </c>
      <c r="D13" s="21" t="s">
        <v>90</v>
      </c>
      <c r="E13" s="21" t="s">
        <v>65</v>
      </c>
      <c r="F13" s="28">
        <v>4</v>
      </c>
      <c r="G13" s="29">
        <v>2013</v>
      </c>
      <c r="I13" s="30">
        <f t="shared" si="0"/>
        <v>4</v>
      </c>
      <c r="J13" s="30">
        <f t="shared" si="0"/>
        <v>4</v>
      </c>
      <c r="K13" s="30">
        <f t="shared" si="0"/>
        <v>4</v>
      </c>
      <c r="L13" s="30">
        <f t="shared" si="0"/>
        <v>4</v>
      </c>
      <c r="M13" s="30">
        <f t="shared" si="0"/>
        <v>0</v>
      </c>
    </row>
    <row r="14" spans="1:13" ht="12.75">
      <c r="A14" s="25">
        <v>10</v>
      </c>
      <c r="B14" s="20" t="s">
        <v>107</v>
      </c>
      <c r="C14" s="21" t="s">
        <v>47</v>
      </c>
      <c r="D14" s="21" t="s">
        <v>77</v>
      </c>
      <c r="E14" s="26" t="s">
        <v>65</v>
      </c>
      <c r="F14" s="32">
        <v>12.1</v>
      </c>
      <c r="G14" s="33">
        <v>2012</v>
      </c>
      <c r="I14" s="30">
        <f t="shared" si="0"/>
        <v>12.1</v>
      </c>
      <c r="J14" s="30">
        <f t="shared" si="0"/>
        <v>12.1</v>
      </c>
      <c r="K14" s="30">
        <f t="shared" si="0"/>
        <v>12.1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108</v>
      </c>
      <c r="C15" s="21" t="s">
        <v>51</v>
      </c>
      <c r="D15" s="21" t="s">
        <v>64</v>
      </c>
      <c r="E15" s="26" t="s">
        <v>65</v>
      </c>
      <c r="F15" s="32">
        <v>4.15</v>
      </c>
      <c r="G15" s="33">
        <v>2012</v>
      </c>
      <c r="I15" s="30">
        <f aca="true" t="shared" si="1" ref="I15:M29">+IF($G15&gt;=I$3,$F15,0)</f>
        <v>4.15</v>
      </c>
      <c r="J15" s="30">
        <f t="shared" si="1"/>
        <v>4.15</v>
      </c>
      <c r="K15" s="30">
        <f t="shared" si="1"/>
        <v>4.15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109</v>
      </c>
      <c r="C16" s="21" t="s">
        <v>48</v>
      </c>
      <c r="D16" s="21" t="s">
        <v>67</v>
      </c>
      <c r="E16" s="26" t="s">
        <v>65</v>
      </c>
      <c r="F16" s="28">
        <v>1.65</v>
      </c>
      <c r="G16" s="29">
        <v>2012</v>
      </c>
      <c r="I16" s="30">
        <f t="shared" si="1"/>
        <v>1.65</v>
      </c>
      <c r="J16" s="30">
        <f t="shared" si="1"/>
        <v>1.65</v>
      </c>
      <c r="K16" s="30">
        <f t="shared" si="1"/>
        <v>1.65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407</v>
      </c>
      <c r="C17" s="21" t="s">
        <v>47</v>
      </c>
      <c r="D17" s="21" t="s">
        <v>82</v>
      </c>
      <c r="E17" s="26" t="s">
        <v>65</v>
      </c>
      <c r="F17" s="32">
        <v>71.05</v>
      </c>
      <c r="G17" s="33">
        <v>2011</v>
      </c>
      <c r="I17" s="30">
        <f t="shared" si="1"/>
        <v>71.05</v>
      </c>
      <c r="J17" s="30">
        <f t="shared" si="1"/>
        <v>71.05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427</v>
      </c>
      <c r="C18" s="21" t="s">
        <v>49</v>
      </c>
      <c r="D18" s="21" t="s">
        <v>86</v>
      </c>
      <c r="E18" s="26" t="s">
        <v>65</v>
      </c>
      <c r="F18" s="32">
        <v>5.05</v>
      </c>
      <c r="G18" s="33">
        <v>2011</v>
      </c>
      <c r="I18" s="30">
        <f t="shared" si="1"/>
        <v>5.05</v>
      </c>
      <c r="J18" s="30">
        <f t="shared" si="1"/>
        <v>5.05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457</v>
      </c>
      <c r="C19" s="21" t="s">
        <v>50</v>
      </c>
      <c r="D19" s="21" t="s">
        <v>90</v>
      </c>
      <c r="E19" s="26" t="s">
        <v>65</v>
      </c>
      <c r="F19" s="28">
        <v>1.8</v>
      </c>
      <c r="G19" s="29">
        <v>2011</v>
      </c>
      <c r="I19" s="30">
        <f t="shared" si="1"/>
        <v>1.8</v>
      </c>
      <c r="J19" s="30">
        <f t="shared" si="1"/>
        <v>1.8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112</v>
      </c>
      <c r="C20" s="21" t="s">
        <v>48</v>
      </c>
      <c r="D20" s="21" t="s">
        <v>113</v>
      </c>
      <c r="E20" s="26" t="s">
        <v>65</v>
      </c>
      <c r="F20" s="28">
        <v>1.5</v>
      </c>
      <c r="G20" s="29">
        <v>2011</v>
      </c>
      <c r="I20" s="30">
        <f t="shared" si="1"/>
        <v>1.5</v>
      </c>
      <c r="J20" s="30">
        <f t="shared" si="1"/>
        <v>1.5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116</v>
      </c>
      <c r="C21" s="21" t="s">
        <v>52</v>
      </c>
      <c r="D21" s="21" t="s">
        <v>64</v>
      </c>
      <c r="E21" s="26" t="s">
        <v>65</v>
      </c>
      <c r="F21" s="28">
        <v>1.5</v>
      </c>
      <c r="G21" s="29">
        <v>2011</v>
      </c>
      <c r="I21" s="30">
        <f t="shared" si="1"/>
        <v>1.5</v>
      </c>
      <c r="J21" s="30">
        <f t="shared" si="1"/>
        <v>1.5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496</v>
      </c>
      <c r="C22" s="21" t="s">
        <v>46</v>
      </c>
      <c r="D22" s="21" t="s">
        <v>71</v>
      </c>
      <c r="E22" s="26" t="s">
        <v>497</v>
      </c>
      <c r="F22" s="28">
        <v>68.7</v>
      </c>
      <c r="G22" s="31">
        <v>2010</v>
      </c>
      <c r="I22" s="30">
        <f t="shared" si="1"/>
        <v>68.7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117</v>
      </c>
      <c r="C23" s="21" t="s">
        <v>47</v>
      </c>
      <c r="D23" s="21" t="s">
        <v>87</v>
      </c>
      <c r="E23" s="26" t="s">
        <v>65</v>
      </c>
      <c r="F23" s="28">
        <v>2.35</v>
      </c>
      <c r="G23" s="29">
        <v>2010</v>
      </c>
      <c r="I23" s="30">
        <f t="shared" si="1"/>
        <v>2.35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118</v>
      </c>
      <c r="C24" s="21" t="s">
        <v>50</v>
      </c>
      <c r="D24" s="21" t="s">
        <v>85</v>
      </c>
      <c r="E24" s="26" t="s">
        <v>65</v>
      </c>
      <c r="F24" s="28">
        <v>2</v>
      </c>
      <c r="G24" s="29">
        <v>2010</v>
      </c>
      <c r="I24" s="30">
        <f t="shared" si="1"/>
        <v>2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703</v>
      </c>
      <c r="C25" s="21" t="s">
        <v>48</v>
      </c>
      <c r="D25" s="21" t="s">
        <v>85</v>
      </c>
      <c r="E25" s="21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777</v>
      </c>
      <c r="C26" s="21" t="s">
        <v>51</v>
      </c>
      <c r="D26" s="21" t="s">
        <v>77</v>
      </c>
      <c r="E26" s="21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768</v>
      </c>
      <c r="C27" s="21" t="s">
        <v>46</v>
      </c>
      <c r="D27" s="21" t="s">
        <v>97</v>
      </c>
      <c r="E27" s="21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792</v>
      </c>
      <c r="C28" s="21" t="s">
        <v>51</v>
      </c>
      <c r="D28" s="21" t="s">
        <v>123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119</v>
      </c>
      <c r="C29" s="21" t="s">
        <v>52</v>
      </c>
      <c r="D29" s="21" t="s">
        <v>77</v>
      </c>
      <c r="E29" s="26" t="s">
        <v>65</v>
      </c>
      <c r="F29" s="32">
        <v>1.35</v>
      </c>
      <c r="G29" s="33">
        <v>2010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1"/>
      <c r="D31" s="47"/>
      <c r="E31" s="47"/>
      <c r="F31" s="47"/>
      <c r="G31" s="47"/>
      <c r="I31" s="36">
        <f>+SUM(I5:I29)</f>
        <v>209.3499999999999</v>
      </c>
      <c r="J31" s="36">
        <f>+SUM(J5:J29)</f>
        <v>127.14999999999998</v>
      </c>
      <c r="K31" s="36">
        <f>+SUM(K5:K29)</f>
        <v>46.24999999999999</v>
      </c>
      <c r="L31" s="36">
        <f>+SUM(L5:L29)</f>
        <v>28.349999999999994</v>
      </c>
      <c r="M31" s="36">
        <f>+SUM(M5:M29)</f>
        <v>24.349999999999994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393</v>
      </c>
      <c r="C37" s="21" t="s">
        <v>47</v>
      </c>
      <c r="D37" s="21" t="s">
        <v>82</v>
      </c>
      <c r="E37" s="21">
        <v>2010</v>
      </c>
      <c r="F37" s="28">
        <v>1.8</v>
      </c>
      <c r="G37" s="29">
        <v>2013</v>
      </c>
      <c r="I37" s="30">
        <f aca="true" t="shared" si="2" ref="I37:I48">+CEILING(IF($I$35=E37,F37,IF($I$35&lt;=G37,F37*0.3,0)),0.05)</f>
        <v>1.8</v>
      </c>
      <c r="J37" s="30">
        <f aca="true" t="shared" si="3" ref="J37:J48">+CEILING(IF($J$35&lt;=G37,F37*0.3,0),0.05)</f>
        <v>0.55</v>
      </c>
      <c r="K37" s="30">
        <f aca="true" t="shared" si="4" ref="K37:K48">+CEILING(IF($K$35&lt;=G37,F37*0.3,0),0.05)</f>
        <v>0.55</v>
      </c>
      <c r="L37" s="30">
        <f aca="true" t="shared" si="5" ref="L37:L48">+CEILING(IF($L$35&lt;=G37,F37*0.3,0),0.05)</f>
        <v>0.55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20" t="s">
        <v>453</v>
      </c>
      <c r="C38" s="21" t="s">
        <v>51</v>
      </c>
      <c r="D38" s="21" t="s">
        <v>159</v>
      </c>
      <c r="E38" s="21">
        <v>2010</v>
      </c>
      <c r="F38" s="28">
        <v>1.8</v>
      </c>
      <c r="G38" s="29">
        <v>2013</v>
      </c>
      <c r="I38" s="30">
        <f t="shared" si="2"/>
        <v>1.8</v>
      </c>
      <c r="J38" s="30">
        <f t="shared" si="3"/>
        <v>0.55</v>
      </c>
      <c r="K38" s="30">
        <f t="shared" si="4"/>
        <v>0.55</v>
      </c>
      <c r="L38" s="30">
        <f t="shared" si="5"/>
        <v>0.55</v>
      </c>
      <c r="M38" s="30">
        <f t="shared" si="6"/>
        <v>0</v>
      </c>
    </row>
    <row r="39" spans="1:13" ht="12.75">
      <c r="A39" s="25">
        <v>3</v>
      </c>
      <c r="B39" s="20" t="s">
        <v>395</v>
      </c>
      <c r="C39" s="21" t="s">
        <v>51</v>
      </c>
      <c r="D39" s="21" t="s">
        <v>69</v>
      </c>
      <c r="E39" s="21">
        <v>2010</v>
      </c>
      <c r="F39" s="28">
        <v>1.8</v>
      </c>
      <c r="G39" s="29">
        <v>2013</v>
      </c>
      <c r="I39" s="30">
        <f t="shared" si="2"/>
        <v>1.8</v>
      </c>
      <c r="J39" s="30">
        <f t="shared" si="3"/>
        <v>0.55</v>
      </c>
      <c r="K39" s="30">
        <f t="shared" si="4"/>
        <v>0.55</v>
      </c>
      <c r="L39" s="30">
        <f t="shared" si="5"/>
        <v>0.55</v>
      </c>
      <c r="M39" s="30">
        <f t="shared" si="6"/>
        <v>0</v>
      </c>
    </row>
    <row r="40" spans="1:13" ht="12.75">
      <c r="A40" s="25">
        <v>4</v>
      </c>
      <c r="B40" s="20" t="s">
        <v>111</v>
      </c>
      <c r="C40" s="21" t="s">
        <v>48</v>
      </c>
      <c r="D40" s="21" t="s">
        <v>90</v>
      </c>
      <c r="E40" s="26">
        <v>2009</v>
      </c>
      <c r="F40" s="28">
        <v>6.95</v>
      </c>
      <c r="G40" s="31">
        <v>2011</v>
      </c>
      <c r="I40" s="30">
        <f t="shared" si="2"/>
        <v>2.1</v>
      </c>
      <c r="J40" s="30">
        <f t="shared" si="3"/>
        <v>2.1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115</v>
      </c>
      <c r="C41" s="21" t="s">
        <v>51</v>
      </c>
      <c r="D41" s="21" t="s">
        <v>82</v>
      </c>
      <c r="E41" s="26">
        <v>2010</v>
      </c>
      <c r="F41" s="28">
        <v>1.5</v>
      </c>
      <c r="G41" s="29">
        <v>2011</v>
      </c>
      <c r="I41" s="30">
        <f t="shared" si="2"/>
        <v>1.5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114</v>
      </c>
      <c r="C42" s="21" t="s">
        <v>46</v>
      </c>
      <c r="D42" s="21" t="s">
        <v>101</v>
      </c>
      <c r="E42" s="26">
        <v>2010</v>
      </c>
      <c r="F42" s="28">
        <v>1.5</v>
      </c>
      <c r="G42" s="29">
        <v>2011</v>
      </c>
      <c r="I42" s="30">
        <f t="shared" si="2"/>
        <v>1.5</v>
      </c>
      <c r="J42" s="30">
        <f t="shared" si="3"/>
        <v>0.45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122</v>
      </c>
      <c r="C43" s="21" t="s">
        <v>47</v>
      </c>
      <c r="D43" s="21" t="s">
        <v>113</v>
      </c>
      <c r="E43" s="26">
        <v>2006</v>
      </c>
      <c r="F43" s="28">
        <v>21.4</v>
      </c>
      <c r="G43" s="29">
        <v>2010</v>
      </c>
      <c r="I43" s="30">
        <f t="shared" si="2"/>
        <v>6.45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426</v>
      </c>
      <c r="C44" s="21" t="s">
        <v>48</v>
      </c>
      <c r="D44" s="21" t="s">
        <v>100</v>
      </c>
      <c r="E44" s="26">
        <v>2009</v>
      </c>
      <c r="F44" s="28">
        <v>16.25</v>
      </c>
      <c r="G44" s="29">
        <v>2010</v>
      </c>
      <c r="I44" s="30">
        <f t="shared" si="2"/>
        <v>4.9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730</v>
      </c>
      <c r="C45" s="21" t="s">
        <v>48</v>
      </c>
      <c r="D45" s="21" t="s">
        <v>159</v>
      </c>
      <c r="E45" s="26">
        <v>2010</v>
      </c>
      <c r="F45" s="28">
        <v>1.95</v>
      </c>
      <c r="G45" s="29">
        <v>2010</v>
      </c>
      <c r="I45" s="30">
        <f t="shared" si="2"/>
        <v>1.9500000000000002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9:13" ht="12.75">
      <c r="I50" s="36">
        <f>+SUM(I37:I49)</f>
        <v>23.8</v>
      </c>
      <c r="J50" s="36">
        <f>+SUM(J37:J49)</f>
        <v>4.65</v>
      </c>
      <c r="K50" s="36">
        <f>+SUM(K37:K49)</f>
        <v>1.6500000000000001</v>
      </c>
      <c r="L50" s="36">
        <f>+SUM(L37:L49)</f>
        <v>1.6500000000000001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61" t="s">
        <v>104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105</v>
      </c>
      <c r="C54" s="23"/>
      <c r="D54" s="23"/>
      <c r="E54" s="23"/>
      <c r="F54" s="23" t="s">
        <v>106</v>
      </c>
      <c r="G54" s="23" t="s">
        <v>27</v>
      </c>
      <c r="I54" s="24">
        <f>+I$3</f>
        <v>2010</v>
      </c>
      <c r="J54" s="24">
        <f>+J$3</f>
        <v>2011</v>
      </c>
      <c r="K54" s="24">
        <f>+K$3</f>
        <v>2012</v>
      </c>
      <c r="L54" s="24">
        <f>+L$3</f>
        <v>2013</v>
      </c>
      <c r="M54" s="24">
        <f>+M$3</f>
        <v>2014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9" t="s">
        <v>504</v>
      </c>
      <c r="C56" s="59"/>
      <c r="D56" s="59"/>
      <c r="E56" s="59"/>
      <c r="F56" s="27">
        <v>8</v>
      </c>
      <c r="G56" s="20">
        <v>2010</v>
      </c>
      <c r="I56" s="39">
        <f>+F56</f>
        <v>8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9"/>
      <c r="C57" s="59"/>
      <c r="D57" s="59"/>
      <c r="E57" s="59"/>
      <c r="I57" s="38"/>
      <c r="J57" s="38"/>
      <c r="K57" s="38"/>
      <c r="L57" s="38"/>
      <c r="M57" s="38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8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13" ht="7.5" customHeight="1">
      <c r="B4" s="22"/>
      <c r="C4" s="24"/>
      <c r="E4" s="24"/>
      <c r="F4" s="24"/>
      <c r="I4" s="40"/>
      <c r="J4" s="40"/>
      <c r="K4" s="40"/>
      <c r="L4" s="40"/>
      <c r="M4" s="40"/>
    </row>
    <row r="5" spans="1:13" ht="12.75">
      <c r="A5" s="25">
        <v>1</v>
      </c>
      <c r="B5" s="20" t="s">
        <v>526</v>
      </c>
      <c r="C5" s="21" t="s">
        <v>48</v>
      </c>
      <c r="D5" s="21" t="s">
        <v>87</v>
      </c>
      <c r="E5" s="26" t="s">
        <v>65</v>
      </c>
      <c r="F5" s="28">
        <v>10.2</v>
      </c>
      <c r="G5" s="29">
        <v>2014</v>
      </c>
      <c r="I5" s="30">
        <f aca="true" t="shared" si="0" ref="I5:M14">+IF($G5&gt;=I$3,$F5,0)</f>
        <v>10.2</v>
      </c>
      <c r="J5" s="30">
        <f t="shared" si="0"/>
        <v>10.2</v>
      </c>
      <c r="K5" s="30">
        <f t="shared" si="0"/>
        <v>10.2</v>
      </c>
      <c r="L5" s="30">
        <f t="shared" si="0"/>
        <v>10.2</v>
      </c>
      <c r="M5" s="30">
        <f t="shared" si="0"/>
        <v>10.2</v>
      </c>
    </row>
    <row r="6" spans="1:13" ht="12.75">
      <c r="A6" s="25">
        <v>2</v>
      </c>
      <c r="B6" s="47" t="s">
        <v>526</v>
      </c>
      <c r="C6" s="21" t="s">
        <v>48</v>
      </c>
      <c r="D6" s="21" t="s">
        <v>85</v>
      </c>
      <c r="E6" s="26" t="s">
        <v>65</v>
      </c>
      <c r="F6" s="32">
        <v>6.8</v>
      </c>
      <c r="G6" s="33">
        <v>2014</v>
      </c>
      <c r="I6" s="30">
        <f t="shared" si="0"/>
        <v>6.8</v>
      </c>
      <c r="J6" s="30">
        <f t="shared" si="0"/>
        <v>6.8</v>
      </c>
      <c r="K6" s="30">
        <f t="shared" si="0"/>
        <v>6.8</v>
      </c>
      <c r="L6" s="30">
        <f t="shared" si="0"/>
        <v>6.8</v>
      </c>
      <c r="M6" s="30">
        <f t="shared" si="0"/>
        <v>6.8</v>
      </c>
    </row>
    <row r="7" spans="1:13" ht="12.75">
      <c r="A7" s="25">
        <v>3</v>
      </c>
      <c r="B7" s="41" t="s">
        <v>659</v>
      </c>
      <c r="C7" s="21" t="s">
        <v>47</v>
      </c>
      <c r="D7" s="21" t="s">
        <v>141</v>
      </c>
      <c r="E7" s="26" t="s">
        <v>65</v>
      </c>
      <c r="F7" s="32">
        <v>6.75</v>
      </c>
      <c r="G7" s="33">
        <v>2014</v>
      </c>
      <c r="I7" s="30">
        <f t="shared" si="0"/>
        <v>6.75</v>
      </c>
      <c r="J7" s="30">
        <f t="shared" si="0"/>
        <v>6.75</v>
      </c>
      <c r="K7" s="30">
        <f t="shared" si="0"/>
        <v>6.75</v>
      </c>
      <c r="L7" s="30">
        <f t="shared" si="0"/>
        <v>6.75</v>
      </c>
      <c r="M7" s="30">
        <f t="shared" si="0"/>
        <v>6.75</v>
      </c>
    </row>
    <row r="8" spans="1:13" ht="12.75">
      <c r="A8" s="25">
        <v>4</v>
      </c>
      <c r="B8" s="20" t="s">
        <v>660</v>
      </c>
      <c r="C8" s="21" t="s">
        <v>47</v>
      </c>
      <c r="D8" s="21" t="s">
        <v>99</v>
      </c>
      <c r="E8" s="26" t="s">
        <v>65</v>
      </c>
      <c r="F8" s="32">
        <v>5.25</v>
      </c>
      <c r="G8" s="33">
        <v>2014</v>
      </c>
      <c r="I8" s="30">
        <f t="shared" si="0"/>
        <v>5.25</v>
      </c>
      <c r="J8" s="30">
        <f t="shared" si="0"/>
        <v>5.25</v>
      </c>
      <c r="K8" s="30">
        <f t="shared" si="0"/>
        <v>5.25</v>
      </c>
      <c r="L8" s="30">
        <f t="shared" si="0"/>
        <v>5.25</v>
      </c>
      <c r="M8" s="30">
        <f t="shared" si="0"/>
        <v>5.25</v>
      </c>
    </row>
    <row r="9" spans="1:13" ht="12.75">
      <c r="A9" s="25">
        <v>5</v>
      </c>
      <c r="B9" s="47" t="s">
        <v>651</v>
      </c>
      <c r="C9" s="21" t="s">
        <v>47</v>
      </c>
      <c r="D9" s="21" t="s">
        <v>86</v>
      </c>
      <c r="E9" s="26" t="s">
        <v>65</v>
      </c>
      <c r="F9" s="28">
        <v>4.7</v>
      </c>
      <c r="G9" s="29">
        <v>2014</v>
      </c>
      <c r="I9" s="30">
        <f t="shared" si="0"/>
        <v>4.7</v>
      </c>
      <c r="J9" s="30">
        <f t="shared" si="0"/>
        <v>4.7</v>
      </c>
      <c r="K9" s="30">
        <f t="shared" si="0"/>
        <v>4.7</v>
      </c>
      <c r="L9" s="30">
        <f t="shared" si="0"/>
        <v>4.7</v>
      </c>
      <c r="M9" s="30">
        <f t="shared" si="0"/>
        <v>4.7</v>
      </c>
    </row>
    <row r="10" spans="1:13" ht="12.75">
      <c r="A10" s="25">
        <v>6</v>
      </c>
      <c r="B10" s="20" t="s">
        <v>680</v>
      </c>
      <c r="C10" s="21" t="s">
        <v>48</v>
      </c>
      <c r="D10" s="21" t="s">
        <v>88</v>
      </c>
      <c r="E10" s="26" t="s">
        <v>65</v>
      </c>
      <c r="F10" s="28">
        <v>2.5</v>
      </c>
      <c r="G10" s="29">
        <v>2014</v>
      </c>
      <c r="I10" s="30">
        <f t="shared" si="0"/>
        <v>2.5</v>
      </c>
      <c r="J10" s="30">
        <f t="shared" si="0"/>
        <v>2.5</v>
      </c>
      <c r="K10" s="30">
        <f t="shared" si="0"/>
        <v>2.5</v>
      </c>
      <c r="L10" s="30">
        <f t="shared" si="0"/>
        <v>2.5</v>
      </c>
      <c r="M10" s="30">
        <f t="shared" si="0"/>
        <v>2.5</v>
      </c>
    </row>
    <row r="11" spans="1:13" ht="12.75">
      <c r="A11" s="25">
        <v>7</v>
      </c>
      <c r="B11" s="20" t="s">
        <v>555</v>
      </c>
      <c r="C11" s="21" t="s">
        <v>48</v>
      </c>
      <c r="D11" s="21" t="s">
        <v>99</v>
      </c>
      <c r="E11" s="26" t="s">
        <v>65</v>
      </c>
      <c r="F11" s="28">
        <v>1.95</v>
      </c>
      <c r="G11" s="29">
        <v>2014</v>
      </c>
      <c r="I11" s="30">
        <f t="shared" si="0"/>
        <v>1.95</v>
      </c>
      <c r="J11" s="30">
        <f t="shared" si="0"/>
        <v>1.95</v>
      </c>
      <c r="K11" s="30">
        <f t="shared" si="0"/>
        <v>1.95</v>
      </c>
      <c r="L11" s="30">
        <f t="shared" si="0"/>
        <v>1.95</v>
      </c>
      <c r="M11" s="30">
        <f t="shared" si="0"/>
        <v>1.95</v>
      </c>
    </row>
    <row r="12" spans="1:13" ht="12.75">
      <c r="A12" s="25">
        <v>8</v>
      </c>
      <c r="B12" s="20" t="s">
        <v>557</v>
      </c>
      <c r="C12" s="21" t="s">
        <v>49</v>
      </c>
      <c r="D12" s="21" t="s">
        <v>88</v>
      </c>
      <c r="E12" s="26" t="s">
        <v>65</v>
      </c>
      <c r="F12" s="32">
        <v>1.95</v>
      </c>
      <c r="G12" s="33">
        <v>2014</v>
      </c>
      <c r="I12" s="30">
        <f t="shared" si="0"/>
        <v>1.95</v>
      </c>
      <c r="J12" s="30">
        <f t="shared" si="0"/>
        <v>1.95</v>
      </c>
      <c r="K12" s="30">
        <f t="shared" si="0"/>
        <v>1.95</v>
      </c>
      <c r="L12" s="30">
        <f t="shared" si="0"/>
        <v>1.95</v>
      </c>
      <c r="M12" s="30">
        <f t="shared" si="0"/>
        <v>1.95</v>
      </c>
    </row>
    <row r="13" spans="1:13" ht="12.75">
      <c r="A13" s="25">
        <v>9</v>
      </c>
      <c r="B13" s="20" t="s">
        <v>634</v>
      </c>
      <c r="C13" s="21" t="s">
        <v>51</v>
      </c>
      <c r="D13" s="21" t="s">
        <v>89</v>
      </c>
      <c r="E13" s="26" t="s">
        <v>65</v>
      </c>
      <c r="F13" s="32">
        <v>1.95</v>
      </c>
      <c r="G13" s="33">
        <v>2014</v>
      </c>
      <c r="I13" s="30">
        <f t="shared" si="0"/>
        <v>1.95</v>
      </c>
      <c r="J13" s="30">
        <f t="shared" si="0"/>
        <v>1.95</v>
      </c>
      <c r="K13" s="30">
        <f t="shared" si="0"/>
        <v>1.95</v>
      </c>
      <c r="L13" s="30">
        <f t="shared" si="0"/>
        <v>1.95</v>
      </c>
      <c r="M13" s="30">
        <f t="shared" si="0"/>
        <v>1.95</v>
      </c>
    </row>
    <row r="14" spans="1:13" ht="12.75">
      <c r="A14" s="25">
        <v>10</v>
      </c>
      <c r="B14" s="20" t="s">
        <v>121</v>
      </c>
      <c r="C14" s="21" t="s">
        <v>48</v>
      </c>
      <c r="D14" s="21" t="s">
        <v>97</v>
      </c>
      <c r="E14" s="26" t="s">
        <v>65</v>
      </c>
      <c r="F14" s="28">
        <v>5.7</v>
      </c>
      <c r="G14" s="29">
        <v>2013</v>
      </c>
      <c r="I14" s="30">
        <f t="shared" si="0"/>
        <v>5.7</v>
      </c>
      <c r="J14" s="30">
        <f t="shared" si="0"/>
        <v>5.7</v>
      </c>
      <c r="K14" s="30">
        <f t="shared" si="0"/>
        <v>5.7</v>
      </c>
      <c r="L14" s="30">
        <f t="shared" si="0"/>
        <v>5.7</v>
      </c>
      <c r="M14" s="30">
        <f t="shared" si="0"/>
        <v>0</v>
      </c>
    </row>
    <row r="15" spans="1:13" ht="12.75">
      <c r="A15" s="25">
        <v>11</v>
      </c>
      <c r="B15" s="41" t="s">
        <v>468</v>
      </c>
      <c r="C15" s="21" t="s">
        <v>48</v>
      </c>
      <c r="D15" s="21" t="s">
        <v>97</v>
      </c>
      <c r="E15" s="26" t="s">
        <v>65</v>
      </c>
      <c r="F15" s="28">
        <v>5.25</v>
      </c>
      <c r="G15" s="29">
        <v>2013</v>
      </c>
      <c r="I15" s="30">
        <f aca="true" t="shared" si="1" ref="I15:M29">+IF($G15&gt;=I$3,$F15,0)</f>
        <v>5.25</v>
      </c>
      <c r="J15" s="30">
        <f t="shared" si="1"/>
        <v>5.25</v>
      </c>
      <c r="K15" s="30">
        <f t="shared" si="1"/>
        <v>5.25</v>
      </c>
      <c r="L15" s="30">
        <f t="shared" si="1"/>
        <v>5.25</v>
      </c>
      <c r="M15" s="30">
        <f t="shared" si="1"/>
        <v>0</v>
      </c>
    </row>
    <row r="16" spans="1:13" ht="12.75">
      <c r="A16" s="25">
        <v>12</v>
      </c>
      <c r="B16" s="20" t="s">
        <v>155</v>
      </c>
      <c r="C16" s="21" t="s">
        <v>46</v>
      </c>
      <c r="D16" s="21" t="s">
        <v>78</v>
      </c>
      <c r="E16" s="26" t="s">
        <v>65</v>
      </c>
      <c r="F16" s="32">
        <v>36.05</v>
      </c>
      <c r="G16" s="33">
        <v>2012</v>
      </c>
      <c r="I16" s="30">
        <f t="shared" si="1"/>
        <v>36.05</v>
      </c>
      <c r="J16" s="30">
        <f t="shared" si="1"/>
        <v>36.05</v>
      </c>
      <c r="K16" s="30">
        <f t="shared" si="1"/>
        <v>36.05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214</v>
      </c>
      <c r="C17" s="21" t="s">
        <v>47</v>
      </c>
      <c r="D17" s="21" t="s">
        <v>64</v>
      </c>
      <c r="E17" s="26" t="s">
        <v>65</v>
      </c>
      <c r="F17" s="28">
        <v>6.45</v>
      </c>
      <c r="G17" s="29">
        <v>2012</v>
      </c>
      <c r="I17" s="30">
        <f t="shared" si="1"/>
        <v>6.45</v>
      </c>
      <c r="J17" s="30">
        <f t="shared" si="1"/>
        <v>6.45</v>
      </c>
      <c r="K17" s="30">
        <f t="shared" si="1"/>
        <v>6.45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179</v>
      </c>
      <c r="C18" s="21" t="s">
        <v>50</v>
      </c>
      <c r="D18" s="21" t="s">
        <v>80</v>
      </c>
      <c r="E18" s="21" t="s">
        <v>65</v>
      </c>
      <c r="F18" s="28">
        <v>1.95</v>
      </c>
      <c r="G18" s="29">
        <v>2012</v>
      </c>
      <c r="I18" s="30">
        <f t="shared" si="1"/>
        <v>1.95</v>
      </c>
      <c r="J18" s="30">
        <f t="shared" si="1"/>
        <v>1.95</v>
      </c>
      <c r="K18" s="30">
        <f t="shared" si="1"/>
        <v>1.95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157</v>
      </c>
      <c r="C19" s="21" t="s">
        <v>47</v>
      </c>
      <c r="D19" s="21" t="s">
        <v>113</v>
      </c>
      <c r="E19" s="26" t="s">
        <v>65</v>
      </c>
      <c r="F19" s="32">
        <v>1.65</v>
      </c>
      <c r="G19" s="33">
        <v>2012</v>
      </c>
      <c r="I19" s="30">
        <f t="shared" si="1"/>
        <v>1.65</v>
      </c>
      <c r="J19" s="30">
        <f t="shared" si="1"/>
        <v>1.65</v>
      </c>
      <c r="K19" s="30">
        <f t="shared" si="1"/>
        <v>1.65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544</v>
      </c>
      <c r="C20" s="21" t="s">
        <v>47</v>
      </c>
      <c r="D20" s="21" t="s">
        <v>101</v>
      </c>
      <c r="E20" s="21" t="s">
        <v>65</v>
      </c>
      <c r="F20" s="28">
        <v>40.3</v>
      </c>
      <c r="G20" s="29">
        <v>2011</v>
      </c>
      <c r="I20" s="30">
        <f t="shared" si="1"/>
        <v>40.3</v>
      </c>
      <c r="J20" s="30">
        <f t="shared" si="1"/>
        <v>40.3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160</v>
      </c>
      <c r="C21" s="21" t="s">
        <v>48</v>
      </c>
      <c r="D21" s="21" t="s">
        <v>90</v>
      </c>
      <c r="E21" s="26" t="s">
        <v>65</v>
      </c>
      <c r="F21" s="28">
        <v>10.25</v>
      </c>
      <c r="G21" s="29">
        <v>2011</v>
      </c>
      <c r="I21" s="30">
        <f t="shared" si="1"/>
        <v>10.25</v>
      </c>
      <c r="J21" s="30">
        <f t="shared" si="1"/>
        <v>10.25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337</v>
      </c>
      <c r="C22" s="21" t="s">
        <v>49</v>
      </c>
      <c r="D22" s="21" t="s">
        <v>113</v>
      </c>
      <c r="E22" s="26" t="s">
        <v>65</v>
      </c>
      <c r="F22" s="32">
        <v>4.35</v>
      </c>
      <c r="G22" s="33">
        <v>2011</v>
      </c>
      <c r="I22" s="30">
        <f t="shared" si="1"/>
        <v>4.35</v>
      </c>
      <c r="J22" s="30">
        <f t="shared" si="1"/>
        <v>4.35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458</v>
      </c>
      <c r="C23" s="21" t="s">
        <v>48</v>
      </c>
      <c r="D23" s="21" t="s">
        <v>101</v>
      </c>
      <c r="E23" s="26" t="s">
        <v>65</v>
      </c>
      <c r="F23" s="28">
        <v>4.2</v>
      </c>
      <c r="G23" s="29">
        <v>2011</v>
      </c>
      <c r="I23" s="30">
        <f t="shared" si="1"/>
        <v>4.2</v>
      </c>
      <c r="J23" s="30">
        <f t="shared" si="1"/>
        <v>4.2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760</v>
      </c>
      <c r="C24" s="21" t="s">
        <v>51</v>
      </c>
      <c r="D24" s="21" t="s">
        <v>103</v>
      </c>
      <c r="E24" s="26" t="s">
        <v>65</v>
      </c>
      <c r="F24" s="28">
        <v>1.95</v>
      </c>
      <c r="G24" s="29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707</v>
      </c>
      <c r="C25" s="21" t="s">
        <v>47</v>
      </c>
      <c r="D25" s="21" t="s">
        <v>71</v>
      </c>
      <c r="E25" s="26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799</v>
      </c>
      <c r="C26" s="21" t="s">
        <v>52</v>
      </c>
      <c r="D26" s="21" t="s">
        <v>88</v>
      </c>
      <c r="E26" s="26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758</v>
      </c>
      <c r="C27" s="21" t="s">
        <v>51</v>
      </c>
      <c r="D27" s="21" t="s">
        <v>71</v>
      </c>
      <c r="E27" s="26" t="s">
        <v>65</v>
      </c>
      <c r="F27" s="28">
        <v>1.95</v>
      </c>
      <c r="G27" s="31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803</v>
      </c>
      <c r="C28" s="21" t="s">
        <v>52</v>
      </c>
      <c r="D28" s="21" t="s">
        <v>73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738</v>
      </c>
      <c r="C29" s="21" t="s">
        <v>394</v>
      </c>
      <c r="D29" s="21" t="s">
        <v>87</v>
      </c>
      <c r="E29" s="26" t="s">
        <v>65</v>
      </c>
      <c r="F29" s="28">
        <v>1.95</v>
      </c>
      <c r="G29" s="29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1"/>
      <c r="D31" s="51"/>
      <c r="E31" s="51"/>
      <c r="F31" s="52"/>
      <c r="G31" s="53"/>
      <c r="I31" s="36">
        <f>+SUM(I5:I29)</f>
        <v>169.89999999999995</v>
      </c>
      <c r="J31" s="36">
        <f>+SUM(J5:J29)</f>
        <v>158.20000000000002</v>
      </c>
      <c r="K31" s="36">
        <f>+SUM(K5:K29)</f>
        <v>99.10000000000002</v>
      </c>
      <c r="L31" s="36">
        <f>+SUM(L5:L29)</f>
        <v>53.000000000000014</v>
      </c>
      <c r="M31" s="36">
        <f>+SUM(M5:M29)</f>
        <v>42.05000000000001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650</v>
      </c>
      <c r="C37" s="21" t="s">
        <v>51</v>
      </c>
      <c r="D37" s="21" t="s">
        <v>64</v>
      </c>
      <c r="E37" s="26">
        <v>2010</v>
      </c>
      <c r="F37" s="28">
        <v>1.95</v>
      </c>
      <c r="G37" s="29">
        <v>2014</v>
      </c>
      <c r="I37" s="30">
        <f aca="true" t="shared" si="2" ref="I37:I52">+CEILING(IF($I$35=E37,F37,IF($I$35&lt;=G37,F37*0.3,0)),0.05)</f>
        <v>1.9500000000000002</v>
      </c>
      <c r="J37" s="30">
        <f aca="true" t="shared" si="3" ref="J37:J52">+CEILING(IF($J$35&lt;=G37,F37*0.3,0),0.05)</f>
        <v>0.6000000000000001</v>
      </c>
      <c r="K37" s="30">
        <f aca="true" t="shared" si="4" ref="K37:K52">+CEILING(IF($K$35&lt;=G37,F37*0.3,0),0.05)</f>
        <v>0.6000000000000001</v>
      </c>
      <c r="L37" s="30">
        <f aca="true" t="shared" si="5" ref="L37:L52">+CEILING(IF($L$35&lt;=G37,F37*0.3,0),0.05)</f>
        <v>0.6000000000000001</v>
      </c>
      <c r="M37" s="30">
        <f aca="true" t="shared" si="6" ref="M37:M52">CEILING(IF($M$35&lt;=G37,F37*0.3,0),0.05)</f>
        <v>0.6000000000000001</v>
      </c>
    </row>
    <row r="38" spans="1:13" ht="12.75">
      <c r="A38" s="25">
        <v>2</v>
      </c>
      <c r="B38" s="20" t="s">
        <v>657</v>
      </c>
      <c r="C38" s="21" t="s">
        <v>51</v>
      </c>
      <c r="D38" s="21" t="s">
        <v>86</v>
      </c>
      <c r="E38" s="26">
        <v>2010</v>
      </c>
      <c r="F38" s="28">
        <v>1.95</v>
      </c>
      <c r="G38" s="29">
        <v>2014</v>
      </c>
      <c r="I38" s="30">
        <f t="shared" si="2"/>
        <v>1.9500000000000002</v>
      </c>
      <c r="J38" s="30">
        <f t="shared" si="3"/>
        <v>0.6000000000000001</v>
      </c>
      <c r="K38" s="30">
        <f t="shared" si="4"/>
        <v>0.6000000000000001</v>
      </c>
      <c r="L38" s="30">
        <f t="shared" si="5"/>
        <v>0.6000000000000001</v>
      </c>
      <c r="M38" s="30">
        <f t="shared" si="6"/>
        <v>0.6000000000000001</v>
      </c>
    </row>
    <row r="39" spans="1:13" ht="12.75">
      <c r="A39" s="25">
        <v>3</v>
      </c>
      <c r="B39" s="20" t="s">
        <v>649</v>
      </c>
      <c r="C39" s="21" t="s">
        <v>52</v>
      </c>
      <c r="D39" s="21" t="s">
        <v>78</v>
      </c>
      <c r="E39" s="26">
        <v>2010</v>
      </c>
      <c r="F39" s="28">
        <v>1.95</v>
      </c>
      <c r="G39" s="29">
        <v>2012</v>
      </c>
      <c r="I39" s="30">
        <f t="shared" si="2"/>
        <v>1.9500000000000002</v>
      </c>
      <c r="J39" s="30">
        <f t="shared" si="3"/>
        <v>0.6000000000000001</v>
      </c>
      <c r="K39" s="30">
        <f t="shared" si="4"/>
        <v>0.6000000000000001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218</v>
      </c>
      <c r="C40" s="21" t="s">
        <v>48</v>
      </c>
      <c r="D40" s="21" t="s">
        <v>92</v>
      </c>
      <c r="E40" s="26">
        <v>2009</v>
      </c>
      <c r="F40" s="28">
        <v>3.65</v>
      </c>
      <c r="G40" s="29">
        <v>2011</v>
      </c>
      <c r="I40" s="30">
        <f t="shared" si="2"/>
        <v>1.1</v>
      </c>
      <c r="J40" s="30">
        <f t="shared" si="3"/>
        <v>1.1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139</v>
      </c>
      <c r="C41" s="21" t="s">
        <v>51</v>
      </c>
      <c r="D41" s="21" t="s">
        <v>124</v>
      </c>
      <c r="E41" s="26">
        <v>2009</v>
      </c>
      <c r="F41" s="28">
        <v>3.6</v>
      </c>
      <c r="G41" s="29">
        <v>2011</v>
      </c>
      <c r="I41" s="30">
        <f t="shared" si="2"/>
        <v>1.1</v>
      </c>
      <c r="J41" s="30">
        <f t="shared" si="3"/>
        <v>1.1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140</v>
      </c>
      <c r="C42" s="21" t="s">
        <v>46</v>
      </c>
      <c r="D42" s="21" t="s">
        <v>141</v>
      </c>
      <c r="E42" s="21">
        <v>2010</v>
      </c>
      <c r="F42" s="28">
        <v>3.3</v>
      </c>
      <c r="G42" s="29">
        <v>2011</v>
      </c>
      <c r="I42" s="30">
        <f t="shared" si="2"/>
        <v>3.3000000000000003</v>
      </c>
      <c r="J42" s="30">
        <f t="shared" si="3"/>
        <v>1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1" t="s">
        <v>148</v>
      </c>
      <c r="C43" s="21" t="s">
        <v>47</v>
      </c>
      <c r="D43" s="21" t="s">
        <v>99</v>
      </c>
      <c r="E43" s="26">
        <v>2008</v>
      </c>
      <c r="F43" s="28">
        <v>1.5</v>
      </c>
      <c r="G43" s="29">
        <v>2011</v>
      </c>
      <c r="I43" s="30">
        <f t="shared" si="2"/>
        <v>0.45</v>
      </c>
      <c r="J43" s="30">
        <f t="shared" si="3"/>
        <v>0.45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221</v>
      </c>
      <c r="C44" s="21" t="s">
        <v>47</v>
      </c>
      <c r="D44" s="21" t="s">
        <v>64</v>
      </c>
      <c r="E44" s="26">
        <v>2009</v>
      </c>
      <c r="F44" s="28">
        <v>8.65</v>
      </c>
      <c r="G44" s="29">
        <v>2010</v>
      </c>
      <c r="I44" s="30">
        <f t="shared" si="2"/>
        <v>2.6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149</v>
      </c>
      <c r="C45" s="21" t="s">
        <v>47</v>
      </c>
      <c r="D45" s="21" t="s">
        <v>123</v>
      </c>
      <c r="E45" s="26">
        <v>2007</v>
      </c>
      <c r="F45" s="28">
        <v>6</v>
      </c>
      <c r="G45" s="29">
        <v>2010</v>
      </c>
      <c r="I45" s="30">
        <f t="shared" si="2"/>
        <v>1.8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150</v>
      </c>
      <c r="C46" s="21" t="s">
        <v>52</v>
      </c>
      <c r="D46" s="21" t="s">
        <v>103</v>
      </c>
      <c r="E46" s="26">
        <v>2007</v>
      </c>
      <c r="F46" s="28">
        <v>5.75</v>
      </c>
      <c r="G46" s="29">
        <v>2010</v>
      </c>
      <c r="I46" s="30">
        <f t="shared" si="2"/>
        <v>1.75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338</v>
      </c>
      <c r="C47" s="21" t="s">
        <v>48</v>
      </c>
      <c r="D47" s="21" t="s">
        <v>132</v>
      </c>
      <c r="E47" s="26">
        <v>2009</v>
      </c>
      <c r="F47" s="28">
        <v>5.4</v>
      </c>
      <c r="G47" s="29">
        <v>2010</v>
      </c>
      <c r="I47" s="30">
        <f t="shared" si="2"/>
        <v>1.6500000000000001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585</v>
      </c>
      <c r="C48" s="21" t="s">
        <v>51</v>
      </c>
      <c r="D48" s="21" t="s">
        <v>92</v>
      </c>
      <c r="E48" s="26">
        <v>2010</v>
      </c>
      <c r="F48" s="28">
        <v>5.4</v>
      </c>
      <c r="G48" s="31">
        <v>2010</v>
      </c>
      <c r="I48" s="30">
        <f t="shared" si="2"/>
        <v>5.4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575</v>
      </c>
      <c r="C49" s="21" t="s">
        <v>52</v>
      </c>
      <c r="D49" s="21" t="s">
        <v>88</v>
      </c>
      <c r="E49" s="26">
        <v>2010</v>
      </c>
      <c r="F49" s="28">
        <v>3.9</v>
      </c>
      <c r="G49" s="29">
        <v>2010</v>
      </c>
      <c r="I49" s="30">
        <f t="shared" si="2"/>
        <v>3.9000000000000004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151</v>
      </c>
      <c r="C50" s="21" t="s">
        <v>51</v>
      </c>
      <c r="D50" s="21" t="s">
        <v>131</v>
      </c>
      <c r="E50" s="26">
        <v>2007</v>
      </c>
      <c r="F50" s="32">
        <v>3.15</v>
      </c>
      <c r="G50" s="33">
        <v>2010</v>
      </c>
      <c r="I50" s="30">
        <f t="shared" si="2"/>
        <v>0.9500000000000001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20" t="s">
        <v>610</v>
      </c>
      <c r="C51" s="21" t="s">
        <v>51</v>
      </c>
      <c r="D51" s="21" t="s">
        <v>69</v>
      </c>
      <c r="E51" s="26">
        <v>2010</v>
      </c>
      <c r="F51" s="28">
        <v>1.95</v>
      </c>
      <c r="G51" s="29">
        <v>2010</v>
      </c>
      <c r="I51" s="30">
        <f t="shared" si="2"/>
        <v>1.9500000000000002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20" t="s">
        <v>153</v>
      </c>
      <c r="C52" s="21" t="s">
        <v>46</v>
      </c>
      <c r="D52" s="21" t="s">
        <v>101</v>
      </c>
      <c r="E52" s="26">
        <v>2010</v>
      </c>
      <c r="F52" s="28">
        <v>1.95</v>
      </c>
      <c r="G52" s="29">
        <v>2010</v>
      </c>
      <c r="I52" s="30">
        <f t="shared" si="2"/>
        <v>1.9500000000000002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20" t="s">
        <v>749</v>
      </c>
      <c r="C53" s="21" t="s">
        <v>52</v>
      </c>
      <c r="D53" s="21" t="s">
        <v>89</v>
      </c>
      <c r="E53" s="26">
        <v>2010</v>
      </c>
      <c r="F53" s="28">
        <v>1.95</v>
      </c>
      <c r="G53" s="29">
        <v>2010</v>
      </c>
      <c r="I53" s="30">
        <f aca="true" t="shared" si="7" ref="I53:I58">+CEILING(IF($I$35=E53,F53,IF($I$35&lt;=G53,F53*0.3,0)),0.05)</f>
        <v>1.9500000000000002</v>
      </c>
      <c r="J53" s="30">
        <f aca="true" t="shared" si="8" ref="J53:J58">+CEILING(IF($J$35&lt;=G53,F53*0.3,0),0.05)</f>
        <v>0</v>
      </c>
      <c r="K53" s="30">
        <f aca="true" t="shared" si="9" ref="K53:K58">+CEILING(IF($K$35&lt;=G53,F53*0.3,0),0.05)</f>
        <v>0</v>
      </c>
      <c r="L53" s="30">
        <f aca="true" t="shared" si="10" ref="L53:L58">+CEILING(IF($L$35&lt;=G53,F53*0.3,0),0.05)</f>
        <v>0</v>
      </c>
      <c r="M53" s="30">
        <f aca="true" t="shared" si="11" ref="M53:M58">CEILING(IF($M$35&lt;=G53,F53*0.3,0),0.05)</f>
        <v>0</v>
      </c>
    </row>
    <row r="54" spans="1:13" ht="12.75">
      <c r="A54" s="25">
        <v>18</v>
      </c>
      <c r="B54" s="20" t="s">
        <v>789</v>
      </c>
      <c r="C54" s="21" t="s">
        <v>47</v>
      </c>
      <c r="D54" s="21" t="s">
        <v>75</v>
      </c>
      <c r="E54" s="26">
        <v>2010</v>
      </c>
      <c r="F54" s="28">
        <v>1.95</v>
      </c>
      <c r="G54" s="29">
        <v>2010</v>
      </c>
      <c r="I54" s="30">
        <f t="shared" si="7"/>
        <v>1.9500000000000002</v>
      </c>
      <c r="J54" s="30">
        <f t="shared" si="8"/>
        <v>0</v>
      </c>
      <c r="K54" s="30">
        <f t="shared" si="9"/>
        <v>0</v>
      </c>
      <c r="L54" s="30">
        <f t="shared" si="10"/>
        <v>0</v>
      </c>
      <c r="M54" s="30">
        <f t="shared" si="11"/>
        <v>0</v>
      </c>
    </row>
    <row r="55" spans="1:13" ht="12.75">
      <c r="A55" s="25">
        <v>19</v>
      </c>
      <c r="B55" s="20" t="s">
        <v>222</v>
      </c>
      <c r="C55" s="21" t="s">
        <v>52</v>
      </c>
      <c r="D55" s="21" t="s">
        <v>131</v>
      </c>
      <c r="E55" s="26">
        <v>2010</v>
      </c>
      <c r="F55" s="28">
        <v>1.95</v>
      </c>
      <c r="G55" s="29">
        <v>2010</v>
      </c>
      <c r="I55" s="30">
        <f t="shared" si="7"/>
        <v>1.9500000000000002</v>
      </c>
      <c r="J55" s="30">
        <f t="shared" si="8"/>
        <v>0</v>
      </c>
      <c r="K55" s="30">
        <f t="shared" si="9"/>
        <v>0</v>
      </c>
      <c r="L55" s="30">
        <f t="shared" si="10"/>
        <v>0</v>
      </c>
      <c r="M55" s="30">
        <f t="shared" si="11"/>
        <v>0</v>
      </c>
    </row>
    <row r="56" spans="1:13" ht="12.75">
      <c r="A56" s="25">
        <v>20</v>
      </c>
      <c r="B56" s="20" t="s">
        <v>84</v>
      </c>
      <c r="C56" s="21" t="s">
        <v>47</v>
      </c>
      <c r="D56" s="21" t="s">
        <v>85</v>
      </c>
      <c r="E56" s="26">
        <v>2007</v>
      </c>
      <c r="F56" s="28">
        <v>1.35</v>
      </c>
      <c r="G56" s="29">
        <v>2010</v>
      </c>
      <c r="I56" s="30">
        <f t="shared" si="7"/>
        <v>0.45</v>
      </c>
      <c r="J56" s="30">
        <f t="shared" si="8"/>
        <v>0</v>
      </c>
      <c r="K56" s="30">
        <f t="shared" si="9"/>
        <v>0</v>
      </c>
      <c r="L56" s="30">
        <f t="shared" si="10"/>
        <v>0</v>
      </c>
      <c r="M56" s="30">
        <f t="shared" si="11"/>
        <v>0</v>
      </c>
    </row>
    <row r="57" spans="1:13" ht="12.75">
      <c r="A57" s="25">
        <v>21</v>
      </c>
      <c r="B57" s="20" t="s">
        <v>152</v>
      </c>
      <c r="C57" s="21" t="s">
        <v>48</v>
      </c>
      <c r="D57" s="21" t="s">
        <v>141</v>
      </c>
      <c r="E57" s="26">
        <v>2008</v>
      </c>
      <c r="F57" s="32">
        <v>1.35</v>
      </c>
      <c r="G57" s="33">
        <v>2010</v>
      </c>
      <c r="I57" s="30">
        <f t="shared" si="7"/>
        <v>0.45</v>
      </c>
      <c r="J57" s="30">
        <f t="shared" si="8"/>
        <v>0</v>
      </c>
      <c r="K57" s="30">
        <f t="shared" si="9"/>
        <v>0</v>
      </c>
      <c r="L57" s="30">
        <f t="shared" si="10"/>
        <v>0</v>
      </c>
      <c r="M57" s="30">
        <f t="shared" si="11"/>
        <v>0</v>
      </c>
    </row>
    <row r="58" spans="1:13" ht="12.75">
      <c r="A58" s="25">
        <v>22</v>
      </c>
      <c r="B58" s="34" t="s">
        <v>168</v>
      </c>
      <c r="C58" s="21" t="s">
        <v>48</v>
      </c>
      <c r="D58" s="21" t="s">
        <v>86</v>
      </c>
      <c r="E58" s="26">
        <v>2008</v>
      </c>
      <c r="F58" s="28">
        <v>1.35</v>
      </c>
      <c r="G58" s="29">
        <v>2010</v>
      </c>
      <c r="I58" s="30">
        <f t="shared" si="7"/>
        <v>0.45</v>
      </c>
      <c r="J58" s="30">
        <f t="shared" si="8"/>
        <v>0</v>
      </c>
      <c r="K58" s="30">
        <f t="shared" si="9"/>
        <v>0</v>
      </c>
      <c r="L58" s="30">
        <f t="shared" si="10"/>
        <v>0</v>
      </c>
      <c r="M58" s="30">
        <f t="shared" si="11"/>
        <v>0</v>
      </c>
    </row>
    <row r="59" spans="1:13" ht="12.75">
      <c r="A59" s="25">
        <v>23</v>
      </c>
      <c r="B59" s="20" t="s">
        <v>801</v>
      </c>
      <c r="C59" s="21" t="s">
        <v>51</v>
      </c>
      <c r="D59" s="21" t="s">
        <v>131</v>
      </c>
      <c r="E59" s="26">
        <v>2010</v>
      </c>
      <c r="F59" s="28">
        <v>1.95</v>
      </c>
      <c r="G59" s="29">
        <v>2010</v>
      </c>
      <c r="I59" s="30">
        <f>+CEILING(IF($I$35=E59,F59,IF($I$35&lt;=G59,F59*0.3,0)),0.05)</f>
        <v>1.9500000000000002</v>
      </c>
      <c r="J59" s="30">
        <f>+CEILING(IF($J$35&lt;=G59,F59*0.3,0),0.05)</f>
        <v>0</v>
      </c>
      <c r="K59" s="30">
        <f>+CEILING(IF($K$35&lt;=G59,F59*0.3,0),0.05)</f>
        <v>0</v>
      </c>
      <c r="L59" s="30">
        <f>+CEILING(IF($L$35&lt;=G59,F59*0.3,0),0.05)</f>
        <v>0</v>
      </c>
      <c r="M59" s="30">
        <f>CEILING(IF($M$35&lt;=G59,F59*0.3,0),0.05)</f>
        <v>0</v>
      </c>
    </row>
    <row r="60" spans="9:13" ht="7.5" customHeight="1">
      <c r="I60" s="34"/>
      <c r="J60" s="34"/>
      <c r="K60" s="34"/>
      <c r="L60" s="34"/>
      <c r="M60" s="34"/>
    </row>
    <row r="61" spans="9:13" ht="12.75">
      <c r="I61" s="36">
        <f>+SUM(I37:I60)</f>
        <v>42.90000000000002</v>
      </c>
      <c r="J61" s="36">
        <f>+SUM(J37:J60)</f>
        <v>5.45</v>
      </c>
      <c r="K61" s="36">
        <f>+SUM(K37:K60)</f>
        <v>1.8000000000000003</v>
      </c>
      <c r="L61" s="36">
        <f>+SUM(L37:L60)</f>
        <v>1.2000000000000002</v>
      </c>
      <c r="M61" s="36">
        <f>+SUM(M37:M60)</f>
        <v>1.2000000000000002</v>
      </c>
    </row>
    <row r="62" spans="9:13" ht="12.75">
      <c r="I62" s="37"/>
      <c r="J62" s="37"/>
      <c r="K62" s="37"/>
      <c r="L62" s="37"/>
      <c r="M62" s="37"/>
    </row>
    <row r="63" spans="1:13" ht="15.75">
      <c r="A63" s="61" t="s">
        <v>104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9:13" ht="7.5" customHeight="1">
      <c r="I64" s="37"/>
      <c r="J64" s="37"/>
      <c r="K64" s="37"/>
      <c r="L64" s="37"/>
      <c r="M64" s="37"/>
    </row>
    <row r="65" spans="1:13" ht="12.75">
      <c r="A65" s="25"/>
      <c r="B65" s="22" t="s">
        <v>105</v>
      </c>
      <c r="C65" s="23"/>
      <c r="D65" s="23"/>
      <c r="E65" s="23"/>
      <c r="F65" s="23" t="s">
        <v>106</v>
      </c>
      <c r="G65" s="23" t="s">
        <v>27</v>
      </c>
      <c r="I65" s="24">
        <f>+I$3</f>
        <v>2010</v>
      </c>
      <c r="J65" s="24">
        <f>+J$3</f>
        <v>2011</v>
      </c>
      <c r="K65" s="24">
        <f>+K$3</f>
        <v>2012</v>
      </c>
      <c r="L65" s="24">
        <f>+L$3</f>
        <v>2013</v>
      </c>
      <c r="M65" s="24">
        <f>+M$3</f>
        <v>2014</v>
      </c>
    </row>
    <row r="66" spans="1:13" ht="7.5" customHeight="1">
      <c r="A66" s="25"/>
      <c r="I66" s="38"/>
      <c r="J66" s="38"/>
      <c r="K66" s="38"/>
      <c r="L66" s="38"/>
      <c r="M66" s="38"/>
    </row>
    <row r="67" spans="1:13" ht="12.75">
      <c r="A67" s="25">
        <v>1</v>
      </c>
      <c r="B67" s="59" t="s">
        <v>501</v>
      </c>
      <c r="C67" s="59"/>
      <c r="D67" s="59"/>
      <c r="E67" s="59"/>
      <c r="F67" s="27">
        <v>4.55</v>
      </c>
      <c r="G67" s="21">
        <v>2010</v>
      </c>
      <c r="I67" s="39">
        <f>+F67</f>
        <v>4.55</v>
      </c>
      <c r="J67" s="39">
        <v>0</v>
      </c>
      <c r="K67" s="39">
        <v>0</v>
      </c>
      <c r="L67" s="39">
        <v>0</v>
      </c>
      <c r="M67" s="39">
        <v>0</v>
      </c>
    </row>
    <row r="68" spans="1:13" ht="12.75">
      <c r="A68" s="25">
        <v>2</v>
      </c>
      <c r="B68" s="59" t="s">
        <v>501</v>
      </c>
      <c r="C68" s="59"/>
      <c r="D68" s="59"/>
      <c r="E68" s="59"/>
      <c r="F68" s="27">
        <v>3</v>
      </c>
      <c r="G68" s="21">
        <v>2011</v>
      </c>
      <c r="I68" s="39">
        <v>0</v>
      </c>
      <c r="J68" s="39">
        <f>F68</f>
        <v>3</v>
      </c>
      <c r="K68" s="39">
        <v>0</v>
      </c>
      <c r="L68" s="39">
        <v>0</v>
      </c>
      <c r="M68" s="39">
        <v>0</v>
      </c>
    </row>
    <row r="69" spans="1:13" ht="12.75">
      <c r="A69" s="25">
        <v>3</v>
      </c>
      <c r="B69" s="59" t="s">
        <v>737</v>
      </c>
      <c r="C69" s="59"/>
      <c r="D69" s="59"/>
      <c r="E69" s="59"/>
      <c r="F69" s="27">
        <v>10</v>
      </c>
      <c r="G69" s="21">
        <v>2010</v>
      </c>
      <c r="I69" s="39">
        <f>F69</f>
        <v>10</v>
      </c>
      <c r="J69" s="39">
        <v>0</v>
      </c>
      <c r="K69" s="39">
        <v>0</v>
      </c>
      <c r="L69" s="39">
        <v>0</v>
      </c>
      <c r="M69" s="39">
        <v>0</v>
      </c>
    </row>
    <row r="70" spans="1:13" ht="12.75">
      <c r="A70" s="25">
        <v>4</v>
      </c>
      <c r="B70" s="59" t="s">
        <v>737</v>
      </c>
      <c r="C70" s="59"/>
      <c r="D70" s="59"/>
      <c r="E70" s="59"/>
      <c r="F70" s="27">
        <v>5</v>
      </c>
      <c r="G70" s="21">
        <v>2011</v>
      </c>
      <c r="I70" s="39">
        <v>0</v>
      </c>
      <c r="J70" s="39">
        <f>F70</f>
        <v>5</v>
      </c>
      <c r="K70" s="39">
        <v>0</v>
      </c>
      <c r="L70" s="39">
        <v>0</v>
      </c>
      <c r="M70" s="39">
        <v>0</v>
      </c>
    </row>
    <row r="71" spans="1:13" ht="7.5" customHeight="1">
      <c r="A71" s="25"/>
      <c r="I71" s="38"/>
      <c r="J71" s="38"/>
      <c r="K71" s="38"/>
      <c r="L71" s="38"/>
      <c r="M71" s="38"/>
    </row>
    <row r="72" spans="1:13" ht="12.75">
      <c r="A72" s="25"/>
      <c r="I72" s="35">
        <f>+SUM(I67:I71)</f>
        <v>14.55</v>
      </c>
      <c r="J72" s="35">
        <f>+SUM(J67:J71)</f>
        <v>8</v>
      </c>
      <c r="K72" s="35">
        <f>+SUM(K67:K71)</f>
        <v>0</v>
      </c>
      <c r="L72" s="35">
        <f>+SUM(L67:L71)</f>
        <v>0</v>
      </c>
      <c r="M72" s="35">
        <f>+SUM(M67:M71)</f>
        <v>0</v>
      </c>
    </row>
  </sheetData>
  <sheetProtection/>
  <mergeCells count="7">
    <mergeCell ref="B70:E70"/>
    <mergeCell ref="B68:E68"/>
    <mergeCell ref="B69:E69"/>
    <mergeCell ref="A1:M1"/>
    <mergeCell ref="A33:M33"/>
    <mergeCell ref="A63:M63"/>
    <mergeCell ref="B67:E6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530</v>
      </c>
      <c r="C5" s="21" t="s">
        <v>46</v>
      </c>
      <c r="D5" s="21" t="s">
        <v>100</v>
      </c>
      <c r="E5" s="26" t="s">
        <v>65</v>
      </c>
      <c r="F5" s="28">
        <v>4.4</v>
      </c>
      <c r="G5" s="29">
        <v>2014</v>
      </c>
      <c r="I5" s="30">
        <f aca="true" t="shared" si="0" ref="I5:M14">+IF($G5&gt;=I$3,$F5,0)</f>
        <v>4.4</v>
      </c>
      <c r="J5" s="30">
        <f t="shared" si="0"/>
        <v>4.4</v>
      </c>
      <c r="K5" s="30">
        <f t="shared" si="0"/>
        <v>4.4</v>
      </c>
      <c r="L5" s="30">
        <f t="shared" si="0"/>
        <v>4.4</v>
      </c>
      <c r="M5" s="30">
        <f t="shared" si="0"/>
        <v>4.4</v>
      </c>
    </row>
    <row r="6" spans="1:13" ht="12.75">
      <c r="A6" s="25">
        <v>2</v>
      </c>
      <c r="B6" s="20" t="s">
        <v>553</v>
      </c>
      <c r="C6" s="21" t="s">
        <v>49</v>
      </c>
      <c r="D6" s="21" t="s">
        <v>88</v>
      </c>
      <c r="E6" s="26" t="s">
        <v>65</v>
      </c>
      <c r="F6" s="28">
        <v>1.95</v>
      </c>
      <c r="G6" s="31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20" t="s">
        <v>384</v>
      </c>
      <c r="C7" s="21" t="s">
        <v>48</v>
      </c>
      <c r="D7" s="21" t="s">
        <v>131</v>
      </c>
      <c r="E7" s="26" t="s">
        <v>65</v>
      </c>
      <c r="F7" s="28">
        <v>6.2</v>
      </c>
      <c r="G7" s="29">
        <v>2013</v>
      </c>
      <c r="I7" s="30">
        <f t="shared" si="0"/>
        <v>6.2</v>
      </c>
      <c r="J7" s="30">
        <f t="shared" si="0"/>
        <v>6.2</v>
      </c>
      <c r="K7" s="30">
        <f t="shared" si="0"/>
        <v>6.2</v>
      </c>
      <c r="L7" s="30">
        <f t="shared" si="0"/>
        <v>6.2</v>
      </c>
      <c r="M7" s="30">
        <f t="shared" si="0"/>
        <v>0</v>
      </c>
    </row>
    <row r="8" spans="1:13" ht="12.75">
      <c r="A8" s="25">
        <v>4</v>
      </c>
      <c r="B8" s="20" t="s">
        <v>385</v>
      </c>
      <c r="C8" s="21" t="s">
        <v>48</v>
      </c>
      <c r="D8" s="21" t="s">
        <v>64</v>
      </c>
      <c r="E8" s="21" t="s">
        <v>65</v>
      </c>
      <c r="F8" s="28">
        <v>3.55</v>
      </c>
      <c r="G8" s="29">
        <v>2013</v>
      </c>
      <c r="I8" s="30">
        <f t="shared" si="0"/>
        <v>3.55</v>
      </c>
      <c r="J8" s="30">
        <f t="shared" si="0"/>
        <v>3.55</v>
      </c>
      <c r="K8" s="30">
        <f t="shared" si="0"/>
        <v>3.55</v>
      </c>
      <c r="L8" s="30">
        <f t="shared" si="0"/>
        <v>3.55</v>
      </c>
      <c r="M8" s="30">
        <f t="shared" si="0"/>
        <v>0</v>
      </c>
    </row>
    <row r="9" spans="1:13" ht="12.75">
      <c r="A9" s="25">
        <v>5</v>
      </c>
      <c r="B9" s="20" t="s">
        <v>387</v>
      </c>
      <c r="C9" s="21" t="s">
        <v>47</v>
      </c>
      <c r="D9" s="21" t="s">
        <v>83</v>
      </c>
      <c r="E9" s="21" t="s">
        <v>65</v>
      </c>
      <c r="F9" s="28">
        <v>1.8</v>
      </c>
      <c r="G9" s="29">
        <v>2013</v>
      </c>
      <c r="I9" s="30">
        <f t="shared" si="0"/>
        <v>1.8</v>
      </c>
      <c r="J9" s="30">
        <f t="shared" si="0"/>
        <v>1.8</v>
      </c>
      <c r="K9" s="30">
        <f t="shared" si="0"/>
        <v>1.8</v>
      </c>
      <c r="L9" s="30">
        <f t="shared" si="0"/>
        <v>1.8</v>
      </c>
      <c r="M9" s="30">
        <f t="shared" si="0"/>
        <v>0</v>
      </c>
    </row>
    <row r="10" spans="1:13" ht="12.75">
      <c r="A10" s="25">
        <v>6</v>
      </c>
      <c r="B10" s="20" t="s">
        <v>231</v>
      </c>
      <c r="C10" s="21" t="s">
        <v>47</v>
      </c>
      <c r="D10" s="21" t="s">
        <v>78</v>
      </c>
      <c r="E10" s="21" t="s">
        <v>65</v>
      </c>
      <c r="F10" s="32">
        <v>15.55</v>
      </c>
      <c r="G10" s="33">
        <v>2012</v>
      </c>
      <c r="I10" s="30">
        <f t="shared" si="0"/>
        <v>15.55</v>
      </c>
      <c r="J10" s="30">
        <f t="shared" si="0"/>
        <v>15.55</v>
      </c>
      <c r="K10" s="30">
        <f t="shared" si="0"/>
        <v>15.55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615</v>
      </c>
      <c r="C11" s="21" t="s">
        <v>46</v>
      </c>
      <c r="D11" s="21" t="s">
        <v>83</v>
      </c>
      <c r="E11" s="26" t="s">
        <v>65</v>
      </c>
      <c r="F11" s="28">
        <v>10.05</v>
      </c>
      <c r="G11" s="29">
        <v>2012</v>
      </c>
      <c r="I11" s="30">
        <f t="shared" si="0"/>
        <v>10.05</v>
      </c>
      <c r="J11" s="30">
        <f t="shared" si="0"/>
        <v>10.05</v>
      </c>
      <c r="K11" s="30">
        <f t="shared" si="0"/>
        <v>10.05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234</v>
      </c>
      <c r="C12" s="21" t="s">
        <v>48</v>
      </c>
      <c r="D12" s="21" t="s">
        <v>131</v>
      </c>
      <c r="E12" s="21" t="s">
        <v>65</v>
      </c>
      <c r="F12" s="28">
        <v>1.65</v>
      </c>
      <c r="G12" s="29">
        <v>2012</v>
      </c>
      <c r="I12" s="30">
        <f t="shared" si="0"/>
        <v>1.65</v>
      </c>
      <c r="J12" s="30">
        <f t="shared" si="0"/>
        <v>1.65</v>
      </c>
      <c r="K12" s="30">
        <f t="shared" si="0"/>
        <v>1.65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432</v>
      </c>
      <c r="C13" s="21" t="s">
        <v>49</v>
      </c>
      <c r="D13" s="21" t="s">
        <v>97</v>
      </c>
      <c r="E13" s="26" t="s">
        <v>65</v>
      </c>
      <c r="F13" s="28">
        <v>25.75</v>
      </c>
      <c r="G13" s="29">
        <v>2011</v>
      </c>
      <c r="I13" s="30">
        <f t="shared" si="0"/>
        <v>25.75</v>
      </c>
      <c r="J13" s="30">
        <f t="shared" si="0"/>
        <v>25.75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431</v>
      </c>
      <c r="C14" s="21" t="s">
        <v>51</v>
      </c>
      <c r="D14" s="21" t="s">
        <v>89</v>
      </c>
      <c r="E14" s="26" t="s">
        <v>65</v>
      </c>
      <c r="F14" s="28">
        <v>7.75</v>
      </c>
      <c r="G14" s="29">
        <v>2011</v>
      </c>
      <c r="I14" s="30">
        <f t="shared" si="0"/>
        <v>7.75</v>
      </c>
      <c r="J14" s="30">
        <f t="shared" si="0"/>
        <v>7.75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236</v>
      </c>
      <c r="C15" s="21" t="s">
        <v>51</v>
      </c>
      <c r="D15" s="21" t="s">
        <v>97</v>
      </c>
      <c r="E15" s="21" t="s">
        <v>65</v>
      </c>
      <c r="F15" s="28">
        <v>5.6</v>
      </c>
      <c r="G15" s="29">
        <v>2011</v>
      </c>
      <c r="I15" s="30">
        <f aca="true" t="shared" si="1" ref="I15:M29">+IF($G15&gt;=I$3,$F15,0)</f>
        <v>5.6</v>
      </c>
      <c r="J15" s="30">
        <f t="shared" si="1"/>
        <v>5.6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237</v>
      </c>
      <c r="C16" s="21" t="s">
        <v>47</v>
      </c>
      <c r="D16" s="21" t="s">
        <v>86</v>
      </c>
      <c r="E16" s="21" t="s">
        <v>65</v>
      </c>
      <c r="F16" s="28">
        <v>5.55</v>
      </c>
      <c r="G16" s="29">
        <v>2011</v>
      </c>
      <c r="I16" s="30">
        <f t="shared" si="1"/>
        <v>5.55</v>
      </c>
      <c r="J16" s="30">
        <f t="shared" si="1"/>
        <v>5.55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238</v>
      </c>
      <c r="C17" s="21" t="s">
        <v>52</v>
      </c>
      <c r="D17" s="21" t="s">
        <v>159</v>
      </c>
      <c r="E17" s="21" t="s">
        <v>65</v>
      </c>
      <c r="F17" s="32">
        <v>5.1</v>
      </c>
      <c r="G17" s="33">
        <v>2011</v>
      </c>
      <c r="I17" s="30">
        <f t="shared" si="1"/>
        <v>5.1</v>
      </c>
      <c r="J17" s="30">
        <f t="shared" si="1"/>
        <v>5.1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245</v>
      </c>
      <c r="C18" s="21" t="s">
        <v>52</v>
      </c>
      <c r="D18" s="21" t="s">
        <v>89</v>
      </c>
      <c r="E18" s="26" t="s">
        <v>65</v>
      </c>
      <c r="F18" s="28">
        <v>3.05</v>
      </c>
      <c r="G18" s="33">
        <v>2011</v>
      </c>
      <c r="I18" s="30">
        <f t="shared" si="1"/>
        <v>3.05</v>
      </c>
      <c r="J18" s="30">
        <f t="shared" si="1"/>
        <v>3.05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240</v>
      </c>
      <c r="C19" s="21" t="s">
        <v>51</v>
      </c>
      <c r="D19" s="21" t="s">
        <v>99</v>
      </c>
      <c r="E19" s="21" t="s">
        <v>65</v>
      </c>
      <c r="F19" s="28">
        <v>1.5</v>
      </c>
      <c r="G19" s="29">
        <v>2011</v>
      </c>
      <c r="I19" s="30">
        <f t="shared" si="1"/>
        <v>1.5</v>
      </c>
      <c r="J19" s="30">
        <f t="shared" si="1"/>
        <v>1.5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505</v>
      </c>
      <c r="C20" s="21" t="s">
        <v>47</v>
      </c>
      <c r="D20" s="21" t="s">
        <v>131</v>
      </c>
      <c r="E20" s="26" t="s">
        <v>497</v>
      </c>
      <c r="F20" s="28">
        <v>70</v>
      </c>
      <c r="G20" s="29">
        <v>2010</v>
      </c>
      <c r="I20" s="30">
        <f t="shared" si="1"/>
        <v>70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241</v>
      </c>
      <c r="C21" s="21" t="s">
        <v>51</v>
      </c>
      <c r="D21" s="21" t="s">
        <v>99</v>
      </c>
      <c r="E21" s="21" t="s">
        <v>65</v>
      </c>
      <c r="F21" s="28">
        <v>6.9</v>
      </c>
      <c r="G21" s="29">
        <v>2010</v>
      </c>
      <c r="I21" s="30">
        <f t="shared" si="1"/>
        <v>6.9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242</v>
      </c>
      <c r="C22" s="21" t="s">
        <v>51</v>
      </c>
      <c r="D22" s="21" t="s">
        <v>80</v>
      </c>
      <c r="E22" s="21" t="s">
        <v>65</v>
      </c>
      <c r="F22" s="28">
        <v>2.75</v>
      </c>
      <c r="G22" s="29">
        <v>2010</v>
      </c>
      <c r="I22" s="30">
        <f t="shared" si="1"/>
        <v>2.75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797</v>
      </c>
      <c r="C23" s="21" t="s">
        <v>48</v>
      </c>
      <c r="D23" s="21" t="s">
        <v>124</v>
      </c>
      <c r="E23" s="21" t="s">
        <v>65</v>
      </c>
      <c r="F23" s="28">
        <v>1.95</v>
      </c>
      <c r="G23" s="29">
        <v>2010</v>
      </c>
      <c r="I23" s="30">
        <f t="shared" si="1"/>
        <v>1.95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775</v>
      </c>
      <c r="C24" s="21" t="s">
        <v>48</v>
      </c>
      <c r="D24" s="21" t="s">
        <v>103</v>
      </c>
      <c r="E24" s="26" t="s">
        <v>65</v>
      </c>
      <c r="F24" s="28">
        <v>1.95</v>
      </c>
      <c r="G24" s="29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728</v>
      </c>
      <c r="C25" s="21" t="s">
        <v>47</v>
      </c>
      <c r="D25" s="21" t="s">
        <v>90</v>
      </c>
      <c r="E25" s="26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747</v>
      </c>
      <c r="C26" s="21" t="s">
        <v>52</v>
      </c>
      <c r="D26" s="21" t="s">
        <v>132</v>
      </c>
      <c r="E26" s="26" t="s">
        <v>65</v>
      </c>
      <c r="F26" s="28">
        <v>1.95</v>
      </c>
      <c r="G26" s="29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1" t="s">
        <v>765</v>
      </c>
      <c r="C27" s="21" t="s">
        <v>48</v>
      </c>
      <c r="D27" s="21" t="s">
        <v>67</v>
      </c>
      <c r="E27" s="21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793</v>
      </c>
      <c r="C28" s="21" t="s">
        <v>50</v>
      </c>
      <c r="D28" s="21" t="s">
        <v>99</v>
      </c>
      <c r="E28" s="21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774</v>
      </c>
      <c r="C29" s="21" t="s">
        <v>48</v>
      </c>
      <c r="D29" s="21" t="s">
        <v>92</v>
      </c>
      <c r="E29" s="21" t="s">
        <v>65</v>
      </c>
      <c r="F29" s="32">
        <v>1.95</v>
      </c>
      <c r="G29" s="33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192.74999999999991</v>
      </c>
      <c r="J31" s="36">
        <f>+SUM(J5:J29)</f>
        <v>99.44999999999999</v>
      </c>
      <c r="K31" s="36">
        <f>+SUM(K5:K29)</f>
        <v>45.15</v>
      </c>
      <c r="L31" s="36">
        <f>+SUM(L5:L29)</f>
        <v>17.900000000000002</v>
      </c>
      <c r="M31" s="36">
        <f>+SUM(M5:M29)</f>
        <v>6.3500000000000005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386</v>
      </c>
      <c r="C37" s="21" t="s">
        <v>47</v>
      </c>
      <c r="D37" s="21" t="s">
        <v>141</v>
      </c>
      <c r="E37" s="21">
        <v>2010</v>
      </c>
      <c r="F37" s="28">
        <v>1.8</v>
      </c>
      <c r="G37" s="29">
        <v>2013</v>
      </c>
      <c r="I37" s="30">
        <f aca="true" t="shared" si="2" ref="I37:I56">+CEILING(IF($I$35=E37,F37,IF($I$35&lt;=G37,F37*0.3,0)),0.05)</f>
        <v>1.8</v>
      </c>
      <c r="J37" s="30">
        <f aca="true" t="shared" si="3" ref="J37:J56">+CEILING(IF($J$35&lt;=G37,F37*0.3,0),0.05)</f>
        <v>0.55</v>
      </c>
      <c r="K37" s="30">
        <f aca="true" t="shared" si="4" ref="K37:K56">+CEILING(IF($K$35&lt;=G37,F37*0.3,0),0.05)</f>
        <v>0.55</v>
      </c>
      <c r="L37" s="30">
        <f aca="true" t="shared" si="5" ref="L37:L56">+CEILING(IF($L$35&lt;=G37,F37*0.3,0),0.05)</f>
        <v>0.55</v>
      </c>
      <c r="M37" s="30">
        <f aca="true" t="shared" si="6" ref="M37:M56">CEILING(IF($M$35&lt;=G37,F37*0.3,0),0.05)</f>
        <v>0</v>
      </c>
    </row>
    <row r="38" spans="1:13" ht="12.75">
      <c r="A38" s="25">
        <v>2</v>
      </c>
      <c r="B38" s="20" t="s">
        <v>235</v>
      </c>
      <c r="C38" s="21" t="s">
        <v>51</v>
      </c>
      <c r="D38" s="21" t="s">
        <v>88</v>
      </c>
      <c r="E38" s="21">
        <v>2009</v>
      </c>
      <c r="F38" s="28">
        <v>1.65</v>
      </c>
      <c r="G38" s="29">
        <v>2012</v>
      </c>
      <c r="I38" s="30">
        <f t="shared" si="2"/>
        <v>0.5</v>
      </c>
      <c r="J38" s="30">
        <f t="shared" si="3"/>
        <v>0.5</v>
      </c>
      <c r="K38" s="30">
        <f t="shared" si="4"/>
        <v>0.5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233</v>
      </c>
      <c r="C39" s="21" t="s">
        <v>51</v>
      </c>
      <c r="D39" s="21" t="s">
        <v>80</v>
      </c>
      <c r="E39" s="26">
        <v>2009</v>
      </c>
      <c r="F39" s="28">
        <v>1.65</v>
      </c>
      <c r="G39" s="29">
        <v>2012</v>
      </c>
      <c r="I39" s="30">
        <f t="shared" si="2"/>
        <v>0.5</v>
      </c>
      <c r="J39" s="30">
        <f t="shared" si="3"/>
        <v>0.5</v>
      </c>
      <c r="K39" s="30">
        <f t="shared" si="4"/>
        <v>0.5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232</v>
      </c>
      <c r="C40" s="21" t="s">
        <v>52</v>
      </c>
      <c r="D40" s="21" t="s">
        <v>86</v>
      </c>
      <c r="E40" s="26">
        <v>2009</v>
      </c>
      <c r="F40" s="28">
        <v>1.65</v>
      </c>
      <c r="G40" s="29">
        <v>2012</v>
      </c>
      <c r="I40" s="30">
        <f t="shared" si="2"/>
        <v>0.5</v>
      </c>
      <c r="J40" s="30">
        <f t="shared" si="3"/>
        <v>0.5</v>
      </c>
      <c r="K40" s="30">
        <f t="shared" si="4"/>
        <v>0.5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246</v>
      </c>
      <c r="C41" s="21" t="s">
        <v>48</v>
      </c>
      <c r="D41" s="21" t="s">
        <v>86</v>
      </c>
      <c r="E41" s="21">
        <v>2008</v>
      </c>
      <c r="F41" s="28">
        <v>1.5</v>
      </c>
      <c r="G41" s="29">
        <v>2011</v>
      </c>
      <c r="I41" s="30">
        <f t="shared" si="2"/>
        <v>0.45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435</v>
      </c>
      <c r="C42" s="21" t="s">
        <v>51</v>
      </c>
      <c r="D42" s="21" t="s">
        <v>90</v>
      </c>
      <c r="E42" s="26">
        <v>2010</v>
      </c>
      <c r="F42" s="28">
        <v>2.35</v>
      </c>
      <c r="G42" s="29">
        <v>2010</v>
      </c>
      <c r="I42" s="30">
        <f t="shared" si="2"/>
        <v>2.35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7" t="s">
        <v>541</v>
      </c>
      <c r="C43" s="51" t="s">
        <v>50</v>
      </c>
      <c r="D43" s="51" t="s">
        <v>89</v>
      </c>
      <c r="E43" s="54">
        <v>2010</v>
      </c>
      <c r="F43" s="55">
        <v>2.2</v>
      </c>
      <c r="G43" s="57">
        <v>2010</v>
      </c>
      <c r="I43" s="30">
        <f t="shared" si="2"/>
        <v>2.2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41" t="s">
        <v>748</v>
      </c>
      <c r="C44" s="21" t="s">
        <v>51</v>
      </c>
      <c r="D44" s="21" t="s">
        <v>64</v>
      </c>
      <c r="E44" s="21">
        <v>2010</v>
      </c>
      <c r="F44" s="28">
        <v>1.95</v>
      </c>
      <c r="G44" s="29">
        <v>2010</v>
      </c>
      <c r="I44" s="30">
        <f t="shared" si="2"/>
        <v>1.9500000000000002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1" t="s">
        <v>762</v>
      </c>
      <c r="C45" s="21" t="s">
        <v>52</v>
      </c>
      <c r="D45" s="21" t="s">
        <v>64</v>
      </c>
      <c r="E45" s="21">
        <v>2010</v>
      </c>
      <c r="F45" s="28">
        <v>1.95</v>
      </c>
      <c r="G45" s="29">
        <v>2010</v>
      </c>
      <c r="I45" s="30">
        <f t="shared" si="2"/>
        <v>1.9500000000000002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1" t="s">
        <v>767</v>
      </c>
      <c r="C46" s="21" t="s">
        <v>46</v>
      </c>
      <c r="D46" s="21" t="s">
        <v>64</v>
      </c>
      <c r="E46" s="21">
        <v>2010</v>
      </c>
      <c r="F46" s="28">
        <v>1.95</v>
      </c>
      <c r="G46" s="29">
        <v>2010</v>
      </c>
      <c r="I46" s="30">
        <f t="shared" si="2"/>
        <v>1.9500000000000002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765</v>
      </c>
      <c r="C47" s="21" t="s">
        <v>48</v>
      </c>
      <c r="D47" s="21" t="s">
        <v>67</v>
      </c>
      <c r="E47" s="21">
        <v>2010</v>
      </c>
      <c r="F47" s="32">
        <v>1.95</v>
      </c>
      <c r="G47" s="33">
        <v>2010</v>
      </c>
      <c r="I47" s="30">
        <f t="shared" si="2"/>
        <v>1.9500000000000002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732</v>
      </c>
      <c r="C48" s="21" t="s">
        <v>50</v>
      </c>
      <c r="D48" s="21" t="s">
        <v>132</v>
      </c>
      <c r="E48" s="21">
        <v>2010</v>
      </c>
      <c r="F48" s="28">
        <v>1.95</v>
      </c>
      <c r="G48" s="29">
        <v>2010</v>
      </c>
      <c r="I48" s="30">
        <f t="shared" si="2"/>
        <v>1.9500000000000002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266</v>
      </c>
      <c r="C49" s="21" t="s">
        <v>50</v>
      </c>
      <c r="D49" s="21" t="s">
        <v>97</v>
      </c>
      <c r="E49" s="21">
        <v>2010</v>
      </c>
      <c r="F49" s="28">
        <v>1.95</v>
      </c>
      <c r="G49" s="29">
        <v>2010</v>
      </c>
      <c r="I49" s="30">
        <f t="shared" si="2"/>
        <v>1.9500000000000002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787</v>
      </c>
      <c r="C50" s="21" t="s">
        <v>50</v>
      </c>
      <c r="D50" s="21" t="s">
        <v>85</v>
      </c>
      <c r="E50" s="21">
        <v>2010</v>
      </c>
      <c r="F50" s="28">
        <v>1.95</v>
      </c>
      <c r="G50" s="29">
        <v>2010</v>
      </c>
      <c r="I50" s="30">
        <f t="shared" si="2"/>
        <v>1.9500000000000002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41" t="s">
        <v>464</v>
      </c>
      <c r="C51" s="21" t="s">
        <v>46</v>
      </c>
      <c r="D51" s="21" t="s">
        <v>141</v>
      </c>
      <c r="E51" s="21">
        <v>2010</v>
      </c>
      <c r="F51" s="28">
        <v>1.95</v>
      </c>
      <c r="G51" s="29">
        <v>2010</v>
      </c>
      <c r="I51" s="30">
        <f t="shared" si="2"/>
        <v>1.9500000000000002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20" t="s">
        <v>707</v>
      </c>
      <c r="C52" s="21" t="s">
        <v>47</v>
      </c>
      <c r="D52" s="21" t="s">
        <v>71</v>
      </c>
      <c r="E52" s="26">
        <v>2010</v>
      </c>
      <c r="F52" s="28">
        <v>1.95</v>
      </c>
      <c r="G52" s="29">
        <v>2010</v>
      </c>
      <c r="I52" s="30">
        <f t="shared" si="2"/>
        <v>1.9500000000000002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41" t="s">
        <v>277</v>
      </c>
      <c r="C53" s="21" t="s">
        <v>46</v>
      </c>
      <c r="D53" s="21" t="s">
        <v>113</v>
      </c>
      <c r="E53" s="21">
        <v>2009</v>
      </c>
      <c r="F53" s="28">
        <v>1.65</v>
      </c>
      <c r="G53" s="29">
        <v>2010</v>
      </c>
      <c r="I53" s="30">
        <f t="shared" si="2"/>
        <v>0.5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B54" s="34" t="s">
        <v>247</v>
      </c>
      <c r="C54" s="21" t="s">
        <v>47</v>
      </c>
      <c r="D54" s="21" t="s">
        <v>131</v>
      </c>
      <c r="E54" s="26">
        <v>2007</v>
      </c>
      <c r="F54" s="28">
        <v>1.35</v>
      </c>
      <c r="G54" s="29">
        <v>2010</v>
      </c>
      <c r="I54" s="30">
        <f t="shared" si="2"/>
        <v>0.45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1:13" ht="12.75">
      <c r="A55" s="25">
        <v>19</v>
      </c>
      <c r="D55" s="21"/>
      <c r="E55" s="21"/>
      <c r="F55" s="32"/>
      <c r="G55" s="33"/>
      <c r="I55" s="30">
        <f t="shared" si="2"/>
        <v>0</v>
      </c>
      <c r="J55" s="30">
        <f t="shared" si="3"/>
        <v>0</v>
      </c>
      <c r="K55" s="30">
        <f t="shared" si="4"/>
        <v>0</v>
      </c>
      <c r="L55" s="30">
        <f t="shared" si="5"/>
        <v>0</v>
      </c>
      <c r="M55" s="30">
        <f t="shared" si="6"/>
        <v>0</v>
      </c>
    </row>
    <row r="56" spans="1:13" ht="12.75">
      <c r="A56" s="25">
        <v>20</v>
      </c>
      <c r="D56" s="21"/>
      <c r="E56" s="21"/>
      <c r="F56" s="32"/>
      <c r="G56" s="33"/>
      <c r="I56" s="30">
        <f t="shared" si="2"/>
        <v>0</v>
      </c>
      <c r="J56" s="30">
        <f t="shared" si="3"/>
        <v>0</v>
      </c>
      <c r="K56" s="30">
        <f t="shared" si="4"/>
        <v>0</v>
      </c>
      <c r="L56" s="30">
        <f t="shared" si="5"/>
        <v>0</v>
      </c>
      <c r="M56" s="30">
        <f t="shared" si="6"/>
        <v>0</v>
      </c>
    </row>
    <row r="57" spans="9:13" ht="7.5" customHeight="1">
      <c r="I57" s="34"/>
      <c r="J57" s="34"/>
      <c r="K57" s="34"/>
      <c r="L57" s="34"/>
      <c r="M57" s="34"/>
    </row>
    <row r="58" spans="9:13" ht="12.75">
      <c r="I58" s="36">
        <f>+SUM(I37:I57)</f>
        <v>26.799999999999994</v>
      </c>
      <c r="J58" s="36">
        <f>+SUM(J37:J57)</f>
        <v>2.5</v>
      </c>
      <c r="K58" s="36">
        <f>+SUM(K37:K57)</f>
        <v>2.05</v>
      </c>
      <c r="L58" s="36">
        <f>+SUM(L37:L57)</f>
        <v>0.55</v>
      </c>
      <c r="M58" s="36">
        <f>+SUM(M37:M57)</f>
        <v>0</v>
      </c>
    </row>
    <row r="59" spans="9:13" ht="12.75">
      <c r="I59" s="37"/>
      <c r="J59" s="37"/>
      <c r="K59" s="37"/>
      <c r="L59" s="37"/>
      <c r="M59" s="37"/>
    </row>
    <row r="60" spans="1:13" ht="15.75">
      <c r="A60" s="61" t="s">
        <v>104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9:13" ht="7.5" customHeight="1">
      <c r="I61" s="37"/>
      <c r="J61" s="37"/>
      <c r="K61" s="37"/>
      <c r="L61" s="37"/>
      <c r="M61" s="37"/>
    </row>
    <row r="62" spans="1:13" ht="12.75">
      <c r="A62" s="25"/>
      <c r="B62" s="22" t="s">
        <v>105</v>
      </c>
      <c r="C62" s="23"/>
      <c r="D62" s="23"/>
      <c r="E62" s="23"/>
      <c r="F62" s="23" t="s">
        <v>106</v>
      </c>
      <c r="G62" s="23" t="s">
        <v>27</v>
      </c>
      <c r="I62" s="24">
        <f>+I$3</f>
        <v>2010</v>
      </c>
      <c r="J62" s="24">
        <f>+J$3</f>
        <v>2011</v>
      </c>
      <c r="K62" s="24">
        <f>+K$3</f>
        <v>2012</v>
      </c>
      <c r="L62" s="24">
        <f>+L$3</f>
        <v>2013</v>
      </c>
      <c r="M62" s="24">
        <f>+M$3</f>
        <v>2014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>
        <v>1</v>
      </c>
      <c r="B64" s="59"/>
      <c r="C64" s="59"/>
      <c r="D64" s="59"/>
      <c r="E64" s="59"/>
      <c r="F64" s="27"/>
      <c r="G64" s="21"/>
      <c r="I64" s="39">
        <f>F64</f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25">
        <v>2</v>
      </c>
      <c r="B65" s="59"/>
      <c r="C65" s="59"/>
      <c r="D65" s="59"/>
      <c r="E65" s="59"/>
      <c r="F65" s="27"/>
      <c r="G65" s="21"/>
      <c r="I65" s="39">
        <f>+F65</f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25">
        <v>3</v>
      </c>
      <c r="C66" s="44"/>
      <c r="F66" s="27"/>
      <c r="G66" s="21"/>
      <c r="I66" s="39">
        <f>+F66</f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/>
      <c r="I68" s="35">
        <f>+SUM(I64:I67)</f>
        <v>0</v>
      </c>
      <c r="J68" s="35">
        <f>+SUM(J64:J67)</f>
        <v>0</v>
      </c>
      <c r="K68" s="35">
        <f>+SUM(K64:K67)</f>
        <v>0</v>
      </c>
      <c r="L68" s="35">
        <f>+SUM(L64:L67)</f>
        <v>0</v>
      </c>
      <c r="M68" s="35">
        <f>+SUM(M64:M67)</f>
        <v>0</v>
      </c>
    </row>
  </sheetData>
  <sheetProtection/>
  <mergeCells count="5">
    <mergeCell ref="B65:E65"/>
    <mergeCell ref="A1:M1"/>
    <mergeCell ref="A33:M33"/>
    <mergeCell ref="A60:M60"/>
    <mergeCell ref="B64:E6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614</v>
      </c>
      <c r="C5" s="21" t="s">
        <v>48</v>
      </c>
      <c r="D5" s="21" t="s">
        <v>103</v>
      </c>
      <c r="E5" s="26" t="s">
        <v>65</v>
      </c>
      <c r="F5" s="32">
        <v>16.95</v>
      </c>
      <c r="G5" s="33">
        <v>2014</v>
      </c>
      <c r="I5" s="30">
        <f aca="true" t="shared" si="0" ref="I5:M14">+IF($G5&gt;=I$3,$F5,0)</f>
        <v>16.95</v>
      </c>
      <c r="J5" s="30">
        <f t="shared" si="0"/>
        <v>16.95</v>
      </c>
      <c r="K5" s="30">
        <f t="shared" si="0"/>
        <v>16.95</v>
      </c>
      <c r="L5" s="30">
        <f t="shared" si="0"/>
        <v>16.95</v>
      </c>
      <c r="M5" s="30">
        <f t="shared" si="0"/>
        <v>16.95</v>
      </c>
    </row>
    <row r="6" spans="1:13" ht="12.75">
      <c r="A6" s="25">
        <v>2</v>
      </c>
      <c r="B6" s="20" t="s">
        <v>639</v>
      </c>
      <c r="C6" s="21" t="s">
        <v>48</v>
      </c>
      <c r="D6" s="21" t="s">
        <v>83</v>
      </c>
      <c r="E6" s="26" t="s">
        <v>65</v>
      </c>
      <c r="F6" s="28">
        <v>10.5</v>
      </c>
      <c r="G6" s="29">
        <v>2014</v>
      </c>
      <c r="I6" s="30">
        <f t="shared" si="0"/>
        <v>10.5</v>
      </c>
      <c r="J6" s="30">
        <f t="shared" si="0"/>
        <v>10.5</v>
      </c>
      <c r="K6" s="30">
        <f t="shared" si="0"/>
        <v>10.5</v>
      </c>
      <c r="L6" s="30">
        <f t="shared" si="0"/>
        <v>10.5</v>
      </c>
      <c r="M6" s="30">
        <f t="shared" si="0"/>
        <v>10.5</v>
      </c>
    </row>
    <row r="7" spans="1:13" ht="12.75">
      <c r="A7" s="25">
        <v>3</v>
      </c>
      <c r="B7" s="20" t="s">
        <v>529</v>
      </c>
      <c r="C7" s="21" t="s">
        <v>48</v>
      </c>
      <c r="D7" s="21" t="s">
        <v>85</v>
      </c>
      <c r="E7" s="26" t="s">
        <v>65</v>
      </c>
      <c r="F7" s="28">
        <v>4.85</v>
      </c>
      <c r="G7" s="29">
        <v>2014</v>
      </c>
      <c r="I7" s="30">
        <f t="shared" si="0"/>
        <v>4.85</v>
      </c>
      <c r="J7" s="30">
        <f t="shared" si="0"/>
        <v>4.85</v>
      </c>
      <c r="K7" s="30">
        <f t="shared" si="0"/>
        <v>4.85</v>
      </c>
      <c r="L7" s="30">
        <f t="shared" si="0"/>
        <v>4.85</v>
      </c>
      <c r="M7" s="30">
        <f t="shared" si="0"/>
        <v>4.85</v>
      </c>
    </row>
    <row r="8" spans="1:13" ht="12.75">
      <c r="A8" s="25">
        <v>4</v>
      </c>
      <c r="B8" s="34" t="s">
        <v>672</v>
      </c>
      <c r="C8" s="21" t="s">
        <v>48</v>
      </c>
      <c r="D8" s="21" t="s">
        <v>82</v>
      </c>
      <c r="E8" s="26" t="s">
        <v>65</v>
      </c>
      <c r="F8" s="28">
        <v>3.45</v>
      </c>
      <c r="G8" s="29">
        <v>2014</v>
      </c>
      <c r="I8" s="30">
        <f t="shared" si="0"/>
        <v>3.45</v>
      </c>
      <c r="J8" s="30">
        <f t="shared" si="0"/>
        <v>3.45</v>
      </c>
      <c r="K8" s="30">
        <f t="shared" si="0"/>
        <v>3.45</v>
      </c>
      <c r="L8" s="30">
        <f t="shared" si="0"/>
        <v>3.45</v>
      </c>
      <c r="M8" s="30">
        <f t="shared" si="0"/>
        <v>3.45</v>
      </c>
    </row>
    <row r="9" spans="1:13" ht="12.75">
      <c r="A9" s="25">
        <v>5</v>
      </c>
      <c r="B9" s="20" t="s">
        <v>552</v>
      </c>
      <c r="C9" s="21" t="s">
        <v>48</v>
      </c>
      <c r="D9" s="21" t="s">
        <v>123</v>
      </c>
      <c r="E9" s="26" t="s">
        <v>65</v>
      </c>
      <c r="F9" s="32">
        <v>1.95</v>
      </c>
      <c r="G9" s="29">
        <v>2014</v>
      </c>
      <c r="I9" s="30">
        <f t="shared" si="0"/>
        <v>1.95</v>
      </c>
      <c r="J9" s="30">
        <f t="shared" si="0"/>
        <v>1.95</v>
      </c>
      <c r="K9" s="30">
        <f t="shared" si="0"/>
        <v>1.95</v>
      </c>
      <c r="L9" s="30">
        <f t="shared" si="0"/>
        <v>1.95</v>
      </c>
      <c r="M9" s="30">
        <f t="shared" si="0"/>
        <v>1.95</v>
      </c>
    </row>
    <row r="10" spans="1:13" ht="12.75">
      <c r="A10" s="25">
        <v>6</v>
      </c>
      <c r="B10" s="20" t="s">
        <v>641</v>
      </c>
      <c r="C10" s="21" t="s">
        <v>51</v>
      </c>
      <c r="D10" s="21" t="s">
        <v>100</v>
      </c>
      <c r="E10" s="26" t="s">
        <v>65</v>
      </c>
      <c r="F10" s="28">
        <v>1.95</v>
      </c>
      <c r="G10" s="29">
        <v>2014</v>
      </c>
      <c r="I10" s="30">
        <f t="shared" si="0"/>
        <v>1.95</v>
      </c>
      <c r="J10" s="30">
        <f t="shared" si="0"/>
        <v>1.95</v>
      </c>
      <c r="K10" s="30">
        <f t="shared" si="0"/>
        <v>1.95</v>
      </c>
      <c r="L10" s="30">
        <f t="shared" si="0"/>
        <v>1.95</v>
      </c>
      <c r="M10" s="30">
        <f t="shared" si="0"/>
        <v>1.95</v>
      </c>
    </row>
    <row r="11" spans="1:13" ht="12.75">
      <c r="A11" s="25">
        <v>7</v>
      </c>
      <c r="B11" s="20" t="s">
        <v>374</v>
      </c>
      <c r="C11" s="21" t="s">
        <v>47</v>
      </c>
      <c r="D11" s="21" t="s">
        <v>73</v>
      </c>
      <c r="E11" s="26" t="s">
        <v>65</v>
      </c>
      <c r="F11" s="28">
        <v>10.65</v>
      </c>
      <c r="G11" s="29">
        <v>2013</v>
      </c>
      <c r="I11" s="30">
        <f t="shared" si="0"/>
        <v>10.65</v>
      </c>
      <c r="J11" s="30">
        <f t="shared" si="0"/>
        <v>10.65</v>
      </c>
      <c r="K11" s="30">
        <f t="shared" si="0"/>
        <v>10.65</v>
      </c>
      <c r="L11" s="30">
        <f t="shared" si="0"/>
        <v>10.65</v>
      </c>
      <c r="M11" s="30">
        <f t="shared" si="0"/>
        <v>0</v>
      </c>
    </row>
    <row r="12" spans="1:13" ht="12.75">
      <c r="A12" s="25">
        <v>8</v>
      </c>
      <c r="B12" s="20" t="s">
        <v>480</v>
      </c>
      <c r="C12" s="21" t="s">
        <v>51</v>
      </c>
      <c r="D12" s="21" t="s">
        <v>90</v>
      </c>
      <c r="E12" s="26" t="s">
        <v>65</v>
      </c>
      <c r="F12" s="28">
        <v>1.8</v>
      </c>
      <c r="G12" s="29">
        <v>2013</v>
      </c>
      <c r="I12" s="30">
        <f t="shared" si="0"/>
        <v>1.8</v>
      </c>
      <c r="J12" s="30">
        <f t="shared" si="0"/>
        <v>1.8</v>
      </c>
      <c r="K12" s="30">
        <f t="shared" si="0"/>
        <v>1.8</v>
      </c>
      <c r="L12" s="30">
        <f t="shared" si="0"/>
        <v>1.8</v>
      </c>
      <c r="M12" s="30">
        <f t="shared" si="0"/>
        <v>0</v>
      </c>
    </row>
    <row r="13" spans="1:13" ht="12.75">
      <c r="A13" s="25">
        <v>9</v>
      </c>
      <c r="B13" s="20" t="s">
        <v>400</v>
      </c>
      <c r="C13" s="21" t="s">
        <v>46</v>
      </c>
      <c r="D13" s="21" t="s">
        <v>85</v>
      </c>
      <c r="E13" s="26" t="s">
        <v>65</v>
      </c>
      <c r="F13" s="32">
        <v>1.8</v>
      </c>
      <c r="G13" s="33">
        <v>2013</v>
      </c>
      <c r="I13" s="30">
        <f t="shared" si="0"/>
        <v>1.8</v>
      </c>
      <c r="J13" s="30">
        <f t="shared" si="0"/>
        <v>1.8</v>
      </c>
      <c r="K13" s="30">
        <f t="shared" si="0"/>
        <v>1.8</v>
      </c>
      <c r="L13" s="30">
        <f t="shared" si="0"/>
        <v>1.8</v>
      </c>
      <c r="M13" s="30">
        <f t="shared" si="0"/>
        <v>0</v>
      </c>
    </row>
    <row r="14" spans="1:13" ht="12.75">
      <c r="A14" s="25">
        <v>10</v>
      </c>
      <c r="B14" s="20" t="s">
        <v>213</v>
      </c>
      <c r="C14" s="21" t="s">
        <v>48</v>
      </c>
      <c r="D14" s="21" t="s">
        <v>89</v>
      </c>
      <c r="E14" s="26" t="s">
        <v>65</v>
      </c>
      <c r="F14" s="28">
        <v>37.45</v>
      </c>
      <c r="G14" s="29">
        <v>2012</v>
      </c>
      <c r="I14" s="30">
        <f t="shared" si="0"/>
        <v>37.45</v>
      </c>
      <c r="J14" s="30">
        <f t="shared" si="0"/>
        <v>37.45</v>
      </c>
      <c r="K14" s="30">
        <f t="shared" si="0"/>
        <v>37.45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515</v>
      </c>
      <c r="C15" s="21" t="s">
        <v>49</v>
      </c>
      <c r="D15" s="21" t="s">
        <v>92</v>
      </c>
      <c r="E15" s="26" t="s">
        <v>65</v>
      </c>
      <c r="F15" s="32">
        <v>31.4</v>
      </c>
      <c r="G15" s="33">
        <v>2012</v>
      </c>
      <c r="I15" s="30">
        <f aca="true" t="shared" si="1" ref="I15:M29">+IF($G15&gt;=I$3,$F15,0)</f>
        <v>31.4</v>
      </c>
      <c r="J15" s="30">
        <f t="shared" si="1"/>
        <v>31.4</v>
      </c>
      <c r="K15" s="30">
        <f t="shared" si="1"/>
        <v>31.4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511</v>
      </c>
      <c r="C16" s="21" t="s">
        <v>52</v>
      </c>
      <c r="D16" s="21" t="s">
        <v>99</v>
      </c>
      <c r="E16" s="26" t="s">
        <v>65</v>
      </c>
      <c r="F16" s="32">
        <v>6.4</v>
      </c>
      <c r="G16" s="33">
        <v>2012</v>
      </c>
      <c r="I16" s="30">
        <f t="shared" si="1"/>
        <v>6.4</v>
      </c>
      <c r="J16" s="30">
        <f t="shared" si="1"/>
        <v>6.4</v>
      </c>
      <c r="K16" s="30">
        <f t="shared" si="1"/>
        <v>6.4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158</v>
      </c>
      <c r="C17" s="21" t="s">
        <v>52</v>
      </c>
      <c r="D17" s="21" t="s">
        <v>159</v>
      </c>
      <c r="E17" s="26" t="s">
        <v>65</v>
      </c>
      <c r="F17" s="32">
        <v>1.65</v>
      </c>
      <c r="G17" s="33">
        <v>2012</v>
      </c>
      <c r="I17" s="30">
        <f t="shared" si="1"/>
        <v>1.65</v>
      </c>
      <c r="J17" s="30">
        <f t="shared" si="1"/>
        <v>1.65</v>
      </c>
      <c r="K17" s="30">
        <f t="shared" si="1"/>
        <v>1.65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137</v>
      </c>
      <c r="C18" s="21" t="s">
        <v>48</v>
      </c>
      <c r="D18" s="21" t="s">
        <v>80</v>
      </c>
      <c r="E18" s="26" t="s">
        <v>65</v>
      </c>
      <c r="F18" s="32">
        <v>23</v>
      </c>
      <c r="G18" s="33">
        <v>2011</v>
      </c>
      <c r="I18" s="30">
        <f t="shared" si="1"/>
        <v>23</v>
      </c>
      <c r="J18" s="30">
        <f t="shared" si="1"/>
        <v>23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372</v>
      </c>
      <c r="C19" s="21" t="s">
        <v>47</v>
      </c>
      <c r="D19" s="21" t="s">
        <v>123</v>
      </c>
      <c r="E19" s="26" t="s">
        <v>65</v>
      </c>
      <c r="F19" s="28">
        <v>12.4</v>
      </c>
      <c r="G19" s="29">
        <v>2011</v>
      </c>
      <c r="I19" s="30">
        <f t="shared" si="1"/>
        <v>12.4</v>
      </c>
      <c r="J19" s="30">
        <f t="shared" si="1"/>
        <v>12.4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409</v>
      </c>
      <c r="C20" s="21" t="s">
        <v>51</v>
      </c>
      <c r="D20" s="21" t="s">
        <v>103</v>
      </c>
      <c r="E20" s="26" t="s">
        <v>65</v>
      </c>
      <c r="F20" s="32">
        <v>11.5</v>
      </c>
      <c r="G20" s="33">
        <v>2011</v>
      </c>
      <c r="I20" s="30">
        <f t="shared" si="1"/>
        <v>11.5</v>
      </c>
      <c r="J20" s="30">
        <f t="shared" si="1"/>
        <v>11.5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110</v>
      </c>
      <c r="C21" s="21" t="s">
        <v>49</v>
      </c>
      <c r="D21" s="21" t="s">
        <v>78</v>
      </c>
      <c r="E21" s="26" t="s">
        <v>65</v>
      </c>
      <c r="F21" s="28">
        <v>11.05</v>
      </c>
      <c r="G21" s="29">
        <v>2011</v>
      </c>
      <c r="I21" s="30">
        <f t="shared" si="1"/>
        <v>11.05</v>
      </c>
      <c r="J21" s="30">
        <f t="shared" si="1"/>
        <v>11.05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413</v>
      </c>
      <c r="C22" s="21" t="s">
        <v>51</v>
      </c>
      <c r="D22" s="21" t="s">
        <v>82</v>
      </c>
      <c r="E22" s="26" t="s">
        <v>65</v>
      </c>
      <c r="F22" s="28">
        <v>6.55</v>
      </c>
      <c r="G22" s="29">
        <v>2011</v>
      </c>
      <c r="I22" s="30">
        <f t="shared" si="1"/>
        <v>6.55</v>
      </c>
      <c r="J22" s="30">
        <f t="shared" si="1"/>
        <v>6.55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437</v>
      </c>
      <c r="C23" s="21" t="s">
        <v>51</v>
      </c>
      <c r="D23" s="21" t="s">
        <v>75</v>
      </c>
      <c r="E23" s="26" t="s">
        <v>65</v>
      </c>
      <c r="F23" s="32">
        <v>2.35</v>
      </c>
      <c r="G23" s="33">
        <v>2011</v>
      </c>
      <c r="I23" s="30">
        <f t="shared" si="1"/>
        <v>2.35</v>
      </c>
      <c r="J23" s="30">
        <f t="shared" si="1"/>
        <v>2.35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239</v>
      </c>
      <c r="C24" s="21" t="s">
        <v>48</v>
      </c>
      <c r="D24" s="21" t="s">
        <v>124</v>
      </c>
      <c r="E24" s="21" t="s">
        <v>65</v>
      </c>
      <c r="F24" s="28">
        <v>1.5</v>
      </c>
      <c r="G24" s="29">
        <v>2011</v>
      </c>
      <c r="I24" s="30">
        <f t="shared" si="1"/>
        <v>1.5</v>
      </c>
      <c r="J24" s="30">
        <f t="shared" si="1"/>
        <v>1.5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163</v>
      </c>
      <c r="C25" s="21" t="s">
        <v>47</v>
      </c>
      <c r="D25" s="21" t="s">
        <v>78</v>
      </c>
      <c r="E25" s="26" t="s">
        <v>65</v>
      </c>
      <c r="F25" s="28">
        <v>10</v>
      </c>
      <c r="G25" s="29">
        <v>2010</v>
      </c>
      <c r="I25" s="30">
        <f t="shared" si="1"/>
        <v>10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349</v>
      </c>
      <c r="C26" s="21" t="s">
        <v>48</v>
      </c>
      <c r="D26" s="21" t="s">
        <v>88</v>
      </c>
      <c r="E26" s="21" t="s">
        <v>65</v>
      </c>
      <c r="F26" s="32">
        <v>4</v>
      </c>
      <c r="G26" s="33">
        <v>2010</v>
      </c>
      <c r="I26" s="30">
        <f t="shared" si="1"/>
        <v>4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34" t="s">
        <v>339</v>
      </c>
      <c r="C27" s="21" t="s">
        <v>46</v>
      </c>
      <c r="D27" s="21" t="s">
        <v>103</v>
      </c>
      <c r="E27" s="26" t="s">
        <v>65</v>
      </c>
      <c r="F27" s="28">
        <v>4</v>
      </c>
      <c r="G27" s="29">
        <v>2010</v>
      </c>
      <c r="I27" s="30">
        <f t="shared" si="1"/>
        <v>4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798</v>
      </c>
      <c r="C28" s="21" t="s">
        <v>52</v>
      </c>
      <c r="D28" s="21" t="s">
        <v>82</v>
      </c>
      <c r="E28" s="26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746</v>
      </c>
      <c r="C29" s="21" t="s">
        <v>50</v>
      </c>
      <c r="D29" s="21" t="s">
        <v>67</v>
      </c>
      <c r="E29" s="26" t="s">
        <v>65</v>
      </c>
      <c r="F29" s="28">
        <v>1.95</v>
      </c>
      <c r="G29" s="29">
        <v>2010</v>
      </c>
      <c r="I29" s="30">
        <f t="shared" si="1"/>
        <v>1.95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221.05</v>
      </c>
      <c r="J31" s="36">
        <f>+SUM(J5:J29)</f>
        <v>199.15000000000003</v>
      </c>
      <c r="K31" s="36">
        <f>+SUM(K5:K29)</f>
        <v>130.8</v>
      </c>
      <c r="L31" s="36">
        <f>+SUM(L5:L29)</f>
        <v>53.9</v>
      </c>
      <c r="M31" s="36">
        <f>+SUM(M5:M29)</f>
        <v>39.650000000000006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165</v>
      </c>
      <c r="C37" s="21" t="s">
        <v>51</v>
      </c>
      <c r="D37" s="21" t="s">
        <v>132</v>
      </c>
      <c r="E37" s="26">
        <v>2009</v>
      </c>
      <c r="F37" s="28">
        <v>3.95</v>
      </c>
      <c r="G37" s="29">
        <v>2010</v>
      </c>
      <c r="I37" s="30">
        <f aca="true" t="shared" si="2" ref="I37:I48">+CEILING(IF($I$35=E37,F37,IF($I$35&lt;=G37,F37*0.3,0)),0.05)</f>
        <v>1.2000000000000002</v>
      </c>
      <c r="J37" s="30">
        <f aca="true" t="shared" si="3" ref="J37:J48">+CEILING(IF($J$35&lt;=G37,F37*0.3,0),0.05)</f>
        <v>0</v>
      </c>
      <c r="K37" s="30">
        <f aca="true" t="shared" si="4" ref="K37:K48">+CEILING(IF($K$35&lt;=G37,F37*0.3,0),0.05)</f>
        <v>0</v>
      </c>
      <c r="L37" s="30">
        <f aca="true" t="shared" si="5" ref="L37:L48">+CEILING(IF($L$35&lt;=G37,F37*0.3,0),0.05)</f>
        <v>0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34" t="s">
        <v>167</v>
      </c>
      <c r="C38" s="21" t="s">
        <v>46</v>
      </c>
      <c r="D38" s="21" t="s">
        <v>124</v>
      </c>
      <c r="E38" s="26">
        <v>2010</v>
      </c>
      <c r="F38" s="28">
        <v>1.7</v>
      </c>
      <c r="G38" s="29">
        <v>2010</v>
      </c>
      <c r="I38" s="30">
        <f t="shared" si="2"/>
        <v>1.7000000000000002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169</v>
      </c>
      <c r="C39" s="21" t="s">
        <v>52</v>
      </c>
      <c r="D39" s="21" t="s">
        <v>159</v>
      </c>
      <c r="E39" s="26">
        <v>2010</v>
      </c>
      <c r="F39" s="28">
        <v>1.35</v>
      </c>
      <c r="G39" s="29">
        <v>2010</v>
      </c>
      <c r="I39" s="30">
        <f t="shared" si="2"/>
        <v>1.35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723</v>
      </c>
      <c r="C40" s="21" t="s">
        <v>47</v>
      </c>
      <c r="D40" s="21" t="s">
        <v>88</v>
      </c>
      <c r="E40" s="26">
        <v>2010</v>
      </c>
      <c r="F40" s="28">
        <v>1.95</v>
      </c>
      <c r="G40" s="29">
        <v>2010</v>
      </c>
      <c r="I40" s="30">
        <f t="shared" si="2"/>
        <v>1.9500000000000002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166</v>
      </c>
      <c r="C41" s="21" t="s">
        <v>50</v>
      </c>
      <c r="D41" s="21" t="s">
        <v>88</v>
      </c>
      <c r="E41" s="26">
        <v>2010</v>
      </c>
      <c r="F41" s="28">
        <v>2.35</v>
      </c>
      <c r="G41" s="29">
        <v>2010</v>
      </c>
      <c r="I41" s="30">
        <f t="shared" si="2"/>
        <v>2.35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/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6"/>
      <c r="F43" s="32"/>
      <c r="G43" s="33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D47" s="21"/>
      <c r="E47" s="26"/>
      <c r="F47" s="32"/>
      <c r="G47" s="33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6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4:13" ht="12.75">
      <c r="D50" s="21"/>
      <c r="E50" s="26"/>
      <c r="F50" s="32"/>
      <c r="G50" s="33"/>
      <c r="I50" s="36">
        <f>+SUM(I37:I49)</f>
        <v>8.55</v>
      </c>
      <c r="J50" s="36">
        <f>+SUM(J37:J49)</f>
        <v>0</v>
      </c>
      <c r="K50" s="36">
        <f>+SUM(K37:K49)</f>
        <v>0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61" t="s">
        <v>104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105</v>
      </c>
      <c r="C54" s="23"/>
      <c r="D54" s="23"/>
      <c r="E54" s="23"/>
      <c r="F54" s="23" t="s">
        <v>106</v>
      </c>
      <c r="G54" s="23" t="s">
        <v>27</v>
      </c>
      <c r="I54" s="24">
        <f>+I$3</f>
        <v>2010</v>
      </c>
      <c r="J54" s="24">
        <f>+J$3</f>
        <v>2011</v>
      </c>
      <c r="K54" s="24">
        <f>+K$3</f>
        <v>2012</v>
      </c>
      <c r="L54" s="24">
        <f>+L$3</f>
        <v>2013</v>
      </c>
      <c r="M54" s="24">
        <f>+M$3</f>
        <v>2014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9"/>
      <c r="C56" s="59"/>
      <c r="D56" s="59"/>
      <c r="E56" s="59"/>
      <c r="F56" s="27"/>
      <c r="G56" s="21"/>
      <c r="I56" s="39">
        <f>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9"/>
      <c r="C57" s="59"/>
      <c r="D57" s="59"/>
      <c r="E57" s="59"/>
      <c r="I57" s="43"/>
      <c r="J57" s="43"/>
      <c r="K57" s="43"/>
      <c r="L57" s="43"/>
      <c r="M57" s="43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584</v>
      </c>
      <c r="C5" s="21" t="s">
        <v>49</v>
      </c>
      <c r="D5" s="21" t="s">
        <v>132</v>
      </c>
      <c r="E5" s="26" t="s">
        <v>65</v>
      </c>
      <c r="F5" s="32">
        <v>7.7</v>
      </c>
      <c r="G5" s="33">
        <v>2014</v>
      </c>
      <c r="I5" s="30">
        <f aca="true" t="shared" si="0" ref="I5:M14">+IF($G5&gt;=I$3,$F5,0)</f>
        <v>7.7</v>
      </c>
      <c r="J5" s="30">
        <f t="shared" si="0"/>
        <v>7.7</v>
      </c>
      <c r="K5" s="30">
        <f t="shared" si="0"/>
        <v>7.7</v>
      </c>
      <c r="L5" s="30">
        <f t="shared" si="0"/>
        <v>7.7</v>
      </c>
      <c r="M5" s="30">
        <f t="shared" si="0"/>
        <v>7.7</v>
      </c>
    </row>
    <row r="6" spans="1:13" ht="12.75">
      <c r="A6" s="25">
        <v>2</v>
      </c>
      <c r="B6" s="20" t="s">
        <v>547</v>
      </c>
      <c r="C6" s="21" t="s">
        <v>51</v>
      </c>
      <c r="D6" s="21" t="s">
        <v>86</v>
      </c>
      <c r="E6" s="26" t="s">
        <v>65</v>
      </c>
      <c r="F6" s="32">
        <v>1.95</v>
      </c>
      <c r="G6" s="33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34" t="s">
        <v>638</v>
      </c>
      <c r="C7" s="21" t="s">
        <v>52</v>
      </c>
      <c r="D7" s="21" t="s">
        <v>120</v>
      </c>
      <c r="E7" s="26" t="s">
        <v>65</v>
      </c>
      <c r="F7" s="28">
        <v>1.95</v>
      </c>
      <c r="G7" s="31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1.95</v>
      </c>
    </row>
    <row r="8" spans="1:13" ht="12.75">
      <c r="A8" s="25">
        <v>4</v>
      </c>
      <c r="B8" s="34" t="s">
        <v>416</v>
      </c>
      <c r="C8" s="21" t="s">
        <v>48</v>
      </c>
      <c r="D8" s="21" t="s">
        <v>78</v>
      </c>
      <c r="E8" s="26" t="s">
        <v>65</v>
      </c>
      <c r="F8" s="28">
        <v>21.3</v>
      </c>
      <c r="G8" s="29">
        <v>2013</v>
      </c>
      <c r="I8" s="30">
        <f t="shared" si="0"/>
        <v>21.3</v>
      </c>
      <c r="J8" s="30">
        <f t="shared" si="0"/>
        <v>21.3</v>
      </c>
      <c r="K8" s="30">
        <f t="shared" si="0"/>
        <v>21.3</v>
      </c>
      <c r="L8" s="30">
        <f t="shared" si="0"/>
        <v>21.3</v>
      </c>
      <c r="M8" s="30">
        <f t="shared" si="0"/>
        <v>0</v>
      </c>
    </row>
    <row r="9" spans="1:13" ht="12.75">
      <c r="A9" s="25">
        <v>5</v>
      </c>
      <c r="B9" s="34" t="s">
        <v>286</v>
      </c>
      <c r="C9" s="21" t="s">
        <v>48</v>
      </c>
      <c r="D9" s="21" t="s">
        <v>67</v>
      </c>
      <c r="E9" s="21" t="s">
        <v>65</v>
      </c>
      <c r="F9" s="28">
        <v>10</v>
      </c>
      <c r="G9" s="29">
        <v>2013</v>
      </c>
      <c r="I9" s="30">
        <f t="shared" si="0"/>
        <v>10</v>
      </c>
      <c r="J9" s="30">
        <f t="shared" si="0"/>
        <v>10</v>
      </c>
      <c r="K9" s="30">
        <f t="shared" si="0"/>
        <v>10</v>
      </c>
      <c r="L9" s="30">
        <f t="shared" si="0"/>
        <v>10</v>
      </c>
      <c r="M9" s="30">
        <f t="shared" si="0"/>
        <v>0</v>
      </c>
    </row>
    <row r="10" spans="1:13" ht="12.75">
      <c r="A10" s="25">
        <v>6</v>
      </c>
      <c r="B10" s="34" t="s">
        <v>405</v>
      </c>
      <c r="C10" s="21" t="s">
        <v>48</v>
      </c>
      <c r="D10" s="21" t="s">
        <v>75</v>
      </c>
      <c r="E10" s="26" t="s">
        <v>65</v>
      </c>
      <c r="F10" s="28">
        <v>1.8</v>
      </c>
      <c r="G10" s="29">
        <v>2013</v>
      </c>
      <c r="I10" s="30">
        <f t="shared" si="0"/>
        <v>1.8</v>
      </c>
      <c r="J10" s="30">
        <f t="shared" si="0"/>
        <v>1.8</v>
      </c>
      <c r="K10" s="30">
        <f t="shared" si="0"/>
        <v>1.8</v>
      </c>
      <c r="L10" s="30">
        <f t="shared" si="0"/>
        <v>1.8</v>
      </c>
      <c r="M10" s="30">
        <f t="shared" si="0"/>
        <v>0</v>
      </c>
    </row>
    <row r="11" spans="1:13" ht="12.75">
      <c r="A11" s="25">
        <v>7</v>
      </c>
      <c r="B11" s="34" t="s">
        <v>406</v>
      </c>
      <c r="C11" s="21" t="s">
        <v>48</v>
      </c>
      <c r="D11" s="21" t="s">
        <v>88</v>
      </c>
      <c r="E11" s="26" t="s">
        <v>65</v>
      </c>
      <c r="F11" s="28">
        <v>58</v>
      </c>
      <c r="G11" s="29">
        <v>2012</v>
      </c>
      <c r="I11" s="30">
        <f t="shared" si="0"/>
        <v>58</v>
      </c>
      <c r="J11" s="30">
        <f t="shared" si="0"/>
        <v>58</v>
      </c>
      <c r="K11" s="30">
        <f t="shared" si="0"/>
        <v>58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509</v>
      </c>
      <c r="C12" s="21" t="s">
        <v>51</v>
      </c>
      <c r="D12" s="21" t="s">
        <v>87</v>
      </c>
      <c r="E12" s="21" t="s">
        <v>65</v>
      </c>
      <c r="F12" s="28">
        <v>5.5</v>
      </c>
      <c r="G12" s="29">
        <v>2012</v>
      </c>
      <c r="I12" s="30">
        <f t="shared" si="0"/>
        <v>5.5</v>
      </c>
      <c r="J12" s="30">
        <f t="shared" si="0"/>
        <v>5.5</v>
      </c>
      <c r="K12" s="30">
        <f t="shared" si="0"/>
        <v>5.5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186</v>
      </c>
      <c r="C13" s="21" t="s">
        <v>51</v>
      </c>
      <c r="D13" s="21" t="s">
        <v>86</v>
      </c>
      <c r="E13" s="26" t="s">
        <v>65</v>
      </c>
      <c r="F13" s="28">
        <v>5.25</v>
      </c>
      <c r="G13" s="29">
        <v>2012</v>
      </c>
      <c r="I13" s="30">
        <f t="shared" si="0"/>
        <v>5.25</v>
      </c>
      <c r="J13" s="30">
        <f t="shared" si="0"/>
        <v>5.25</v>
      </c>
      <c r="K13" s="30">
        <f t="shared" si="0"/>
        <v>5.25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676</v>
      </c>
      <c r="C14" s="21" t="s">
        <v>51</v>
      </c>
      <c r="D14" s="21" t="s">
        <v>90</v>
      </c>
      <c r="E14" s="26" t="s">
        <v>65</v>
      </c>
      <c r="F14" s="28">
        <v>4.75</v>
      </c>
      <c r="G14" s="29">
        <v>2012</v>
      </c>
      <c r="I14" s="30">
        <f t="shared" si="0"/>
        <v>4.75</v>
      </c>
      <c r="J14" s="30">
        <f t="shared" si="0"/>
        <v>4.75</v>
      </c>
      <c r="K14" s="30">
        <f t="shared" si="0"/>
        <v>4.75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1" t="s">
        <v>264</v>
      </c>
      <c r="C15" s="21" t="s">
        <v>46</v>
      </c>
      <c r="D15" s="21" t="s">
        <v>101</v>
      </c>
      <c r="E15" s="21" t="s">
        <v>65</v>
      </c>
      <c r="F15" s="28">
        <v>2.65</v>
      </c>
      <c r="G15" s="29">
        <v>2012</v>
      </c>
      <c r="I15" s="30">
        <f aca="true" t="shared" si="1" ref="I15:M29">+IF($G15&gt;=I$3,$F15,0)</f>
        <v>2.65</v>
      </c>
      <c r="J15" s="30">
        <f t="shared" si="1"/>
        <v>2.65</v>
      </c>
      <c r="K15" s="30">
        <f t="shared" si="1"/>
        <v>2.65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188</v>
      </c>
      <c r="C16" s="21" t="s">
        <v>52</v>
      </c>
      <c r="D16" s="21" t="s">
        <v>69</v>
      </c>
      <c r="E16" s="26" t="s">
        <v>65</v>
      </c>
      <c r="F16" s="32">
        <v>2.15</v>
      </c>
      <c r="G16" s="33">
        <v>2012</v>
      </c>
      <c r="I16" s="30">
        <f t="shared" si="1"/>
        <v>2.15</v>
      </c>
      <c r="J16" s="30">
        <f t="shared" si="1"/>
        <v>2.15</v>
      </c>
      <c r="K16" s="30">
        <f t="shared" si="1"/>
        <v>2.15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41" t="s">
        <v>631</v>
      </c>
      <c r="C17" s="21" t="s">
        <v>47</v>
      </c>
      <c r="D17" s="21" t="s">
        <v>123</v>
      </c>
      <c r="E17" s="26" t="s">
        <v>65</v>
      </c>
      <c r="F17" s="28">
        <v>1.95</v>
      </c>
      <c r="G17" s="29">
        <v>2012</v>
      </c>
      <c r="I17" s="30">
        <f t="shared" si="1"/>
        <v>1.95</v>
      </c>
      <c r="J17" s="30">
        <f t="shared" si="1"/>
        <v>1.95</v>
      </c>
      <c r="K17" s="30">
        <f t="shared" si="1"/>
        <v>1.95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1" t="s">
        <v>190</v>
      </c>
      <c r="C18" s="21" t="s">
        <v>52</v>
      </c>
      <c r="D18" s="21" t="s">
        <v>85</v>
      </c>
      <c r="E18" s="26" t="s">
        <v>65</v>
      </c>
      <c r="F18" s="32">
        <v>1.65</v>
      </c>
      <c r="G18" s="33">
        <v>2012</v>
      </c>
      <c r="I18" s="30">
        <f t="shared" si="1"/>
        <v>1.65</v>
      </c>
      <c r="J18" s="30">
        <f t="shared" si="1"/>
        <v>1.65</v>
      </c>
      <c r="K18" s="30">
        <f t="shared" si="1"/>
        <v>1.65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593</v>
      </c>
      <c r="C19" s="21" t="s">
        <v>47</v>
      </c>
      <c r="D19" s="21" t="s">
        <v>103</v>
      </c>
      <c r="E19" s="26" t="s">
        <v>65</v>
      </c>
      <c r="F19" s="28">
        <v>22.25</v>
      </c>
      <c r="G19" s="29">
        <v>2011</v>
      </c>
      <c r="I19" s="30">
        <f t="shared" si="1"/>
        <v>22.25</v>
      </c>
      <c r="J19" s="30">
        <f t="shared" si="1"/>
        <v>22.25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443</v>
      </c>
      <c r="C20" s="21" t="s">
        <v>50</v>
      </c>
      <c r="D20" s="21" t="s">
        <v>141</v>
      </c>
      <c r="E20" s="26" t="s">
        <v>65</v>
      </c>
      <c r="F20" s="32">
        <v>3.3</v>
      </c>
      <c r="G20" s="33">
        <v>2011</v>
      </c>
      <c r="I20" s="30">
        <f t="shared" si="1"/>
        <v>3.3</v>
      </c>
      <c r="J20" s="30">
        <f t="shared" si="1"/>
        <v>3.3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574</v>
      </c>
      <c r="C21" s="21" t="s">
        <v>52</v>
      </c>
      <c r="D21" s="21" t="s">
        <v>98</v>
      </c>
      <c r="E21" s="26" t="s">
        <v>65</v>
      </c>
      <c r="F21" s="28">
        <v>4.05</v>
      </c>
      <c r="G21" s="29">
        <v>2010</v>
      </c>
      <c r="I21" s="30">
        <f t="shared" si="1"/>
        <v>4.05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704</v>
      </c>
      <c r="C22" s="21" t="s">
        <v>46</v>
      </c>
      <c r="D22" s="21" t="s">
        <v>90</v>
      </c>
      <c r="E22" s="26" t="s">
        <v>65</v>
      </c>
      <c r="F22" s="28">
        <v>1.95</v>
      </c>
      <c r="G22" s="29">
        <v>2010</v>
      </c>
      <c r="I22" s="30">
        <f t="shared" si="1"/>
        <v>1.95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733</v>
      </c>
      <c r="C23" s="21" t="s">
        <v>51</v>
      </c>
      <c r="D23" s="21" t="s">
        <v>89</v>
      </c>
      <c r="E23" s="26" t="s">
        <v>65</v>
      </c>
      <c r="F23" s="28">
        <v>1.95</v>
      </c>
      <c r="G23" s="29">
        <v>2010</v>
      </c>
      <c r="I23" s="30">
        <f t="shared" si="1"/>
        <v>1.95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790</v>
      </c>
      <c r="C24" s="21" t="s">
        <v>46</v>
      </c>
      <c r="D24" s="21" t="s">
        <v>101</v>
      </c>
      <c r="E24" s="26" t="s">
        <v>65</v>
      </c>
      <c r="F24" s="28">
        <v>1.95</v>
      </c>
      <c r="G24" s="29">
        <v>2010</v>
      </c>
      <c r="I24" s="30">
        <f t="shared" si="1"/>
        <v>1.95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1" t="s">
        <v>601</v>
      </c>
      <c r="C25" s="21" t="s">
        <v>51</v>
      </c>
      <c r="D25" s="21" t="s">
        <v>80</v>
      </c>
      <c r="E25" s="26" t="s">
        <v>65</v>
      </c>
      <c r="F25" s="28">
        <v>1.95</v>
      </c>
      <c r="G25" s="29">
        <v>2010</v>
      </c>
      <c r="I25" s="30">
        <f t="shared" si="1"/>
        <v>1.95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718</v>
      </c>
      <c r="C26" s="21" t="s">
        <v>46</v>
      </c>
      <c r="D26" s="21" t="s">
        <v>159</v>
      </c>
      <c r="E26" s="26" t="s">
        <v>65</v>
      </c>
      <c r="F26" s="32">
        <v>1.95</v>
      </c>
      <c r="G26" s="33">
        <v>2010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766</v>
      </c>
      <c r="C27" s="21" t="s">
        <v>48</v>
      </c>
      <c r="D27" s="21" t="s">
        <v>75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193</v>
      </c>
      <c r="C28" s="21" t="s">
        <v>47</v>
      </c>
      <c r="D28" s="21" t="s">
        <v>113</v>
      </c>
      <c r="E28" s="21" t="s">
        <v>65</v>
      </c>
      <c r="F28" s="28">
        <v>1.95</v>
      </c>
      <c r="G28" s="29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198</v>
      </c>
      <c r="C29" s="21" t="s">
        <v>49</v>
      </c>
      <c r="D29" s="21" t="s">
        <v>90</v>
      </c>
      <c r="E29" s="21" t="s">
        <v>65</v>
      </c>
      <c r="F29" s="28">
        <v>1.35</v>
      </c>
      <c r="G29" s="29">
        <v>2010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1"/>
      <c r="D31" s="21"/>
      <c r="E31" s="26"/>
      <c r="F31" s="32"/>
      <c r="G31" s="33"/>
      <c r="I31" s="36">
        <f>+SUM(I5:I29)</f>
        <v>171.19999999999996</v>
      </c>
      <c r="J31" s="36">
        <f>+SUM(J5:J29)</f>
        <v>152.15000000000003</v>
      </c>
      <c r="K31" s="36">
        <f>+SUM(K5:K29)</f>
        <v>126.60000000000001</v>
      </c>
      <c r="L31" s="36">
        <f>+SUM(L5:L29)</f>
        <v>44.699999999999996</v>
      </c>
      <c r="M31" s="36">
        <f>+SUM(M5:M29)</f>
        <v>11.6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444</v>
      </c>
      <c r="C37" s="21" t="s">
        <v>46</v>
      </c>
      <c r="D37" s="21" t="s">
        <v>90</v>
      </c>
      <c r="E37" s="21">
        <v>2009</v>
      </c>
      <c r="F37" s="28">
        <v>2.55</v>
      </c>
      <c r="G37" s="29">
        <v>2013</v>
      </c>
      <c r="I37" s="30">
        <f aca="true" t="shared" si="2" ref="I37:I43">+CEILING(IF($I$35=E37,F37,IF($I$35&lt;=G37,F37*0.3,0)),0.05)</f>
        <v>0.8</v>
      </c>
      <c r="J37" s="30">
        <f aca="true" t="shared" si="3" ref="J37:J43">+CEILING(IF($J$35&lt;=G37,F37*0.3,0),0.05)</f>
        <v>0.8</v>
      </c>
      <c r="K37" s="30">
        <f aca="true" t="shared" si="4" ref="K37:K43">+CEILING(IF($K$35&lt;=G37,F37*0.3,0),0.05)</f>
        <v>0.8</v>
      </c>
      <c r="L37" s="30">
        <f aca="true" t="shared" si="5" ref="L37:L43">+CEILING(IF($L$35&lt;=G37,F37*0.3,0),0.05)</f>
        <v>0.8</v>
      </c>
      <c r="M37" s="30">
        <f aca="true" t="shared" si="6" ref="M37:M43">CEILING(IF($M$35&lt;=G37,F37*0.3,0),0.05)</f>
        <v>0</v>
      </c>
    </row>
    <row r="38" spans="1:13" ht="12.75">
      <c r="A38" s="25">
        <v>2</v>
      </c>
      <c r="B38" s="20" t="s">
        <v>187</v>
      </c>
      <c r="C38" s="21" t="s">
        <v>48</v>
      </c>
      <c r="D38" s="21" t="s">
        <v>99</v>
      </c>
      <c r="E38" s="26">
        <v>2009</v>
      </c>
      <c r="F38" s="32">
        <v>4.05</v>
      </c>
      <c r="G38" s="33">
        <v>2012</v>
      </c>
      <c r="I38" s="30">
        <f t="shared" si="2"/>
        <v>1.25</v>
      </c>
      <c r="J38" s="30">
        <f t="shared" si="3"/>
        <v>1.25</v>
      </c>
      <c r="K38" s="30">
        <f t="shared" si="4"/>
        <v>1.25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189</v>
      </c>
      <c r="C39" s="21" t="s">
        <v>47</v>
      </c>
      <c r="D39" s="21" t="s">
        <v>103</v>
      </c>
      <c r="E39" s="26">
        <v>2009</v>
      </c>
      <c r="F39" s="28">
        <v>1.9</v>
      </c>
      <c r="G39" s="29">
        <v>2012</v>
      </c>
      <c r="I39" s="30">
        <f t="shared" si="2"/>
        <v>0.6000000000000001</v>
      </c>
      <c r="J39" s="30">
        <f t="shared" si="3"/>
        <v>0.6000000000000001</v>
      </c>
      <c r="K39" s="30">
        <f t="shared" si="4"/>
        <v>0.6000000000000001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191</v>
      </c>
      <c r="C40" s="21" t="s">
        <v>51</v>
      </c>
      <c r="D40" s="21" t="s">
        <v>88</v>
      </c>
      <c r="E40" s="26">
        <v>2009</v>
      </c>
      <c r="F40" s="32">
        <v>1.5</v>
      </c>
      <c r="G40" s="33">
        <v>2011</v>
      </c>
      <c r="I40" s="30">
        <f t="shared" si="2"/>
        <v>0.45</v>
      </c>
      <c r="J40" s="30">
        <f t="shared" si="3"/>
        <v>0.45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192</v>
      </c>
      <c r="C41" s="21" t="s">
        <v>47</v>
      </c>
      <c r="D41" s="21" t="s">
        <v>123</v>
      </c>
      <c r="E41" s="26">
        <v>2010</v>
      </c>
      <c r="F41" s="28">
        <v>10.5</v>
      </c>
      <c r="G41" s="29">
        <v>2010</v>
      </c>
      <c r="I41" s="30">
        <f t="shared" si="2"/>
        <v>10.5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193</v>
      </c>
      <c r="C42" s="21" t="s">
        <v>47</v>
      </c>
      <c r="D42" s="21" t="s">
        <v>113</v>
      </c>
      <c r="E42" s="26">
        <v>2010</v>
      </c>
      <c r="F42" s="28">
        <v>10.1</v>
      </c>
      <c r="G42" s="29">
        <v>2010</v>
      </c>
      <c r="I42" s="30">
        <f t="shared" si="2"/>
        <v>10.100000000000001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244</v>
      </c>
      <c r="C43" s="21" t="s">
        <v>46</v>
      </c>
      <c r="D43" s="21" t="s">
        <v>141</v>
      </c>
      <c r="E43" s="26">
        <v>2010</v>
      </c>
      <c r="F43" s="28">
        <v>10.1</v>
      </c>
      <c r="G43" s="29">
        <v>2010</v>
      </c>
      <c r="I43" s="30">
        <f t="shared" si="2"/>
        <v>10.100000000000001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41" t="s">
        <v>194</v>
      </c>
      <c r="C44" s="21" t="s">
        <v>51</v>
      </c>
      <c r="D44" s="21" t="s">
        <v>92</v>
      </c>
      <c r="E44" s="26">
        <v>2009</v>
      </c>
      <c r="F44" s="28">
        <v>4</v>
      </c>
      <c r="G44" s="29">
        <v>2010</v>
      </c>
      <c r="I44" s="30">
        <f aca="true" t="shared" si="7" ref="I44:I52">+CEILING(IF($I$35=E44,F44,IF($I$35&lt;=G44,F44*0.3,0)),0.05)</f>
        <v>1.2000000000000002</v>
      </c>
      <c r="J44" s="30">
        <f aca="true" t="shared" si="8" ref="J44:J52">+CEILING(IF($J$35&lt;=G44,F44*0.3,0),0.05)</f>
        <v>0</v>
      </c>
      <c r="K44" s="30">
        <f aca="true" t="shared" si="9" ref="K44:K52">+CEILING(IF($K$35&lt;=G44,F44*0.3,0),0.05)</f>
        <v>0</v>
      </c>
      <c r="L44" s="30">
        <f aca="true" t="shared" si="10" ref="L44:L52">+CEILING(IF($L$35&lt;=G44,F44*0.3,0),0.05)</f>
        <v>0</v>
      </c>
      <c r="M44" s="30">
        <f aca="true" t="shared" si="11" ref="M44:M52">CEILING(IF($M$35&lt;=G44,F44*0.3,0),0.05)</f>
        <v>0</v>
      </c>
    </row>
    <row r="45" spans="1:13" ht="12.75">
      <c r="A45" s="25">
        <v>9</v>
      </c>
      <c r="B45" s="34" t="s">
        <v>195</v>
      </c>
      <c r="C45" s="21" t="s">
        <v>47</v>
      </c>
      <c r="D45" s="21" t="s">
        <v>90</v>
      </c>
      <c r="E45" s="21">
        <v>2008</v>
      </c>
      <c r="F45" s="28">
        <v>3</v>
      </c>
      <c r="G45" s="29">
        <v>2010</v>
      </c>
      <c r="I45" s="30">
        <f t="shared" si="7"/>
        <v>0.9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0</v>
      </c>
    </row>
    <row r="46" spans="1:13" ht="12.75">
      <c r="A46" s="25">
        <v>10</v>
      </c>
      <c r="B46" s="20" t="s">
        <v>683</v>
      </c>
      <c r="C46" s="21" t="s">
        <v>47</v>
      </c>
      <c r="D46" s="21" t="s">
        <v>101</v>
      </c>
      <c r="E46" s="26">
        <v>2010</v>
      </c>
      <c r="F46" s="28">
        <v>1.95</v>
      </c>
      <c r="G46" s="29">
        <v>2010</v>
      </c>
      <c r="I46" s="30">
        <f t="shared" si="7"/>
        <v>1.9500000000000002</v>
      </c>
      <c r="J46" s="30">
        <f t="shared" si="8"/>
        <v>0</v>
      </c>
      <c r="K46" s="30">
        <f t="shared" si="9"/>
        <v>0</v>
      </c>
      <c r="L46" s="30">
        <f t="shared" si="10"/>
        <v>0</v>
      </c>
      <c r="M46" s="30">
        <f t="shared" si="11"/>
        <v>0</v>
      </c>
    </row>
    <row r="47" spans="1:13" ht="12.75">
      <c r="A47" s="25">
        <v>11</v>
      </c>
      <c r="B47" s="20" t="s">
        <v>661</v>
      </c>
      <c r="C47" s="21" t="s">
        <v>51</v>
      </c>
      <c r="D47" s="21" t="s">
        <v>85</v>
      </c>
      <c r="E47" s="26">
        <v>2010</v>
      </c>
      <c r="F47" s="32">
        <v>1.95</v>
      </c>
      <c r="G47" s="33">
        <v>2010</v>
      </c>
      <c r="I47" s="30">
        <f t="shared" si="7"/>
        <v>1.9500000000000002</v>
      </c>
      <c r="J47" s="30">
        <f t="shared" si="8"/>
        <v>0</v>
      </c>
      <c r="K47" s="30">
        <f t="shared" si="9"/>
        <v>0</v>
      </c>
      <c r="L47" s="30">
        <f t="shared" si="10"/>
        <v>0</v>
      </c>
      <c r="M47" s="30">
        <f t="shared" si="11"/>
        <v>0</v>
      </c>
    </row>
    <row r="48" spans="1:13" ht="12.75">
      <c r="A48" s="25">
        <v>12</v>
      </c>
      <c r="B48" s="34" t="s">
        <v>728</v>
      </c>
      <c r="C48" s="21" t="s">
        <v>47</v>
      </c>
      <c r="D48" s="21" t="s">
        <v>90</v>
      </c>
      <c r="E48" s="21">
        <v>2010</v>
      </c>
      <c r="F48" s="28">
        <v>1.95</v>
      </c>
      <c r="G48" s="29">
        <v>2010</v>
      </c>
      <c r="I48" s="30">
        <f t="shared" si="7"/>
        <v>1.9500000000000002</v>
      </c>
      <c r="J48" s="30">
        <f t="shared" si="8"/>
        <v>0</v>
      </c>
      <c r="K48" s="30">
        <f t="shared" si="9"/>
        <v>0</v>
      </c>
      <c r="L48" s="30">
        <f t="shared" si="10"/>
        <v>0</v>
      </c>
      <c r="M48" s="30">
        <f t="shared" si="11"/>
        <v>0</v>
      </c>
    </row>
    <row r="49" spans="1:13" ht="12.75">
      <c r="A49" s="25">
        <v>13</v>
      </c>
      <c r="B49" s="20" t="s">
        <v>693</v>
      </c>
      <c r="C49" s="21" t="s">
        <v>47</v>
      </c>
      <c r="D49" s="21" t="s">
        <v>99</v>
      </c>
      <c r="E49" s="26">
        <v>2010</v>
      </c>
      <c r="F49" s="28">
        <v>1.95</v>
      </c>
      <c r="G49" s="29">
        <v>2010</v>
      </c>
      <c r="I49" s="30">
        <f t="shared" si="7"/>
        <v>1.9500000000000002</v>
      </c>
      <c r="J49" s="30">
        <f t="shared" si="8"/>
        <v>0</v>
      </c>
      <c r="K49" s="30">
        <f t="shared" si="9"/>
        <v>0</v>
      </c>
      <c r="L49" s="30">
        <f t="shared" si="10"/>
        <v>0</v>
      </c>
      <c r="M49" s="30">
        <f t="shared" si="11"/>
        <v>0</v>
      </c>
    </row>
    <row r="50" spans="1:13" ht="12.75">
      <c r="A50" s="25">
        <v>14</v>
      </c>
      <c r="B50" s="20" t="s">
        <v>750</v>
      </c>
      <c r="C50" s="21" t="s">
        <v>46</v>
      </c>
      <c r="D50" s="21" t="s">
        <v>71</v>
      </c>
      <c r="E50" s="26">
        <v>2010</v>
      </c>
      <c r="F50" s="28">
        <v>1.95</v>
      </c>
      <c r="G50" s="29">
        <v>2010</v>
      </c>
      <c r="I50" s="30">
        <f t="shared" si="7"/>
        <v>1.9500000000000002</v>
      </c>
      <c r="J50" s="30">
        <f t="shared" si="8"/>
        <v>0</v>
      </c>
      <c r="K50" s="30">
        <f t="shared" si="9"/>
        <v>0</v>
      </c>
      <c r="L50" s="30">
        <f t="shared" si="10"/>
        <v>0</v>
      </c>
      <c r="M50" s="30">
        <f t="shared" si="11"/>
        <v>0</v>
      </c>
    </row>
    <row r="51" spans="1:13" ht="12.75">
      <c r="A51" s="25">
        <v>15</v>
      </c>
      <c r="B51" s="41" t="s">
        <v>196</v>
      </c>
      <c r="C51" s="21" t="s">
        <v>51</v>
      </c>
      <c r="D51" s="21" t="s">
        <v>103</v>
      </c>
      <c r="E51" s="26">
        <v>2010</v>
      </c>
      <c r="F51" s="28">
        <v>1.9</v>
      </c>
      <c r="G51" s="29">
        <v>2010</v>
      </c>
      <c r="I51" s="30">
        <f t="shared" si="7"/>
        <v>1.9000000000000001</v>
      </c>
      <c r="J51" s="30">
        <f t="shared" si="8"/>
        <v>0</v>
      </c>
      <c r="K51" s="30">
        <f t="shared" si="9"/>
        <v>0</v>
      </c>
      <c r="L51" s="30">
        <f t="shared" si="10"/>
        <v>0</v>
      </c>
      <c r="M51" s="30">
        <f t="shared" si="11"/>
        <v>0</v>
      </c>
    </row>
    <row r="52" spans="1:13" ht="12.75">
      <c r="A52" s="25">
        <v>16</v>
      </c>
      <c r="B52" s="34" t="s">
        <v>197</v>
      </c>
      <c r="C52" s="21" t="s">
        <v>51</v>
      </c>
      <c r="D52" s="21" t="s">
        <v>73</v>
      </c>
      <c r="E52" s="21">
        <v>2010</v>
      </c>
      <c r="F52" s="28">
        <v>1.35</v>
      </c>
      <c r="G52" s="29">
        <v>2010</v>
      </c>
      <c r="I52" s="30">
        <f t="shared" si="7"/>
        <v>1.35</v>
      </c>
      <c r="J52" s="30">
        <f t="shared" si="8"/>
        <v>0</v>
      </c>
      <c r="K52" s="30">
        <f t="shared" si="9"/>
        <v>0</v>
      </c>
      <c r="L52" s="30">
        <f t="shared" si="10"/>
        <v>0</v>
      </c>
      <c r="M52" s="30">
        <f t="shared" si="11"/>
        <v>0</v>
      </c>
    </row>
    <row r="53" spans="9:13" ht="7.5" customHeight="1">
      <c r="I53" s="34"/>
      <c r="J53" s="34"/>
      <c r="K53" s="34"/>
      <c r="L53" s="34"/>
      <c r="M53" s="34"/>
    </row>
    <row r="54" spans="9:13" ht="12.75">
      <c r="I54" s="36">
        <f>+SUM(I37:I53)</f>
        <v>48.90000000000002</v>
      </c>
      <c r="J54" s="36">
        <f>+SUM(J37:J53)</f>
        <v>3.1</v>
      </c>
      <c r="K54" s="36">
        <f>+SUM(K37:K53)</f>
        <v>2.65</v>
      </c>
      <c r="L54" s="36">
        <f>+SUM(L37:L53)</f>
        <v>0.8</v>
      </c>
      <c r="M54" s="36">
        <f>+SUM(M37:M53)</f>
        <v>0</v>
      </c>
    </row>
    <row r="55" spans="9:13" ht="12.75">
      <c r="I55" s="37"/>
      <c r="J55" s="37"/>
      <c r="K55" s="37"/>
      <c r="L55" s="37"/>
      <c r="M55" s="37"/>
    </row>
    <row r="56" spans="1:13" ht="15.75">
      <c r="A56" s="61" t="s">
        <v>104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9:13" ht="7.5" customHeight="1">
      <c r="I57" s="37"/>
      <c r="J57" s="37"/>
      <c r="K57" s="37"/>
      <c r="L57" s="37"/>
      <c r="M57" s="37"/>
    </row>
    <row r="58" spans="1:13" ht="12.75">
      <c r="A58" s="25"/>
      <c r="B58" s="22" t="s">
        <v>105</v>
      </c>
      <c r="C58" s="23"/>
      <c r="D58" s="23"/>
      <c r="E58" s="23"/>
      <c r="F58" s="23" t="s">
        <v>106</v>
      </c>
      <c r="G58" s="23" t="s">
        <v>27</v>
      </c>
      <c r="I58" s="24">
        <f>+I$3</f>
        <v>2010</v>
      </c>
      <c r="J58" s="24">
        <f>+J$3</f>
        <v>2011</v>
      </c>
      <c r="K58" s="24">
        <f>+K$3</f>
        <v>2012</v>
      </c>
      <c r="L58" s="24">
        <f>+L$3</f>
        <v>2013</v>
      </c>
      <c r="M58" s="24">
        <f>+M$3</f>
        <v>2014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>
        <v>1</v>
      </c>
      <c r="B60" s="59"/>
      <c r="C60" s="59"/>
      <c r="D60" s="59"/>
      <c r="E60" s="59"/>
      <c r="F60" s="32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2</v>
      </c>
      <c r="B61" s="59"/>
      <c r="C61" s="59"/>
      <c r="D61" s="59"/>
      <c r="E61" s="59"/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+SUM(I60:I62)</f>
        <v>0</v>
      </c>
      <c r="J63" s="35">
        <f>+SUM(J60:J62)</f>
        <v>0</v>
      </c>
      <c r="K63" s="35">
        <f>+SUM(K60:K62)</f>
        <v>0</v>
      </c>
      <c r="L63" s="35">
        <f>+SUM(L60:L62)</f>
        <v>0</v>
      </c>
      <c r="M63" s="35">
        <f>+SUM(M60:M62)</f>
        <v>0</v>
      </c>
    </row>
  </sheetData>
  <sheetProtection/>
  <mergeCells count="5">
    <mergeCell ref="B61:E61"/>
    <mergeCell ref="A1:M1"/>
    <mergeCell ref="A33:M33"/>
    <mergeCell ref="A56:M56"/>
    <mergeCell ref="B60:E6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7.5" customHeight="1"/>
    <row r="3" spans="2:13" ht="12.75">
      <c r="B3" s="22" t="s">
        <v>59</v>
      </c>
      <c r="C3" s="23" t="s">
        <v>60</v>
      </c>
      <c r="D3" s="23" t="s">
        <v>1</v>
      </c>
      <c r="E3" s="23" t="s">
        <v>61</v>
      </c>
      <c r="F3" s="23" t="s">
        <v>10</v>
      </c>
      <c r="G3" s="23" t="s">
        <v>62</v>
      </c>
      <c r="I3" s="24">
        <v>2010</v>
      </c>
      <c r="J3" s="24">
        <v>2011</v>
      </c>
      <c r="K3" s="24">
        <v>2012</v>
      </c>
      <c r="L3" s="24">
        <v>2013</v>
      </c>
      <c r="M3" s="24">
        <v>2014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523</v>
      </c>
      <c r="C5" s="21" t="s">
        <v>47</v>
      </c>
      <c r="D5" s="21" t="s">
        <v>131</v>
      </c>
      <c r="E5" s="26" t="s">
        <v>65</v>
      </c>
      <c r="F5" s="28">
        <v>9.7</v>
      </c>
      <c r="G5" s="29">
        <v>2014</v>
      </c>
      <c r="I5" s="30">
        <f aca="true" t="shared" si="0" ref="I5:M14">+IF($G5&gt;=I$3,$F5,0)</f>
        <v>9.7</v>
      </c>
      <c r="J5" s="30">
        <f t="shared" si="0"/>
        <v>9.7</v>
      </c>
      <c r="K5" s="30">
        <f t="shared" si="0"/>
        <v>9.7</v>
      </c>
      <c r="L5" s="30">
        <f t="shared" si="0"/>
        <v>9.7</v>
      </c>
      <c r="M5" s="30">
        <f t="shared" si="0"/>
        <v>9.7</v>
      </c>
    </row>
    <row r="6" spans="1:13" ht="12.75">
      <c r="A6" s="25">
        <v>2</v>
      </c>
      <c r="B6" s="20" t="s">
        <v>546</v>
      </c>
      <c r="C6" s="21" t="s">
        <v>48</v>
      </c>
      <c r="D6" s="21" t="s">
        <v>67</v>
      </c>
      <c r="E6" s="26" t="s">
        <v>65</v>
      </c>
      <c r="F6" s="28">
        <v>1.95</v>
      </c>
      <c r="G6" s="29">
        <v>2014</v>
      </c>
      <c r="I6" s="30">
        <f t="shared" si="0"/>
        <v>1.95</v>
      </c>
      <c r="J6" s="30">
        <f t="shared" si="0"/>
        <v>1.95</v>
      </c>
      <c r="K6" s="30">
        <f t="shared" si="0"/>
        <v>1.95</v>
      </c>
      <c r="L6" s="30">
        <f t="shared" si="0"/>
        <v>1.95</v>
      </c>
      <c r="M6" s="30">
        <f t="shared" si="0"/>
        <v>1.95</v>
      </c>
    </row>
    <row r="7" spans="1:13" ht="12.75">
      <c r="A7" s="25">
        <v>3</v>
      </c>
      <c r="B7" s="20" t="s">
        <v>643</v>
      </c>
      <c r="C7" s="21" t="s">
        <v>49</v>
      </c>
      <c r="D7" s="21" t="s">
        <v>78</v>
      </c>
      <c r="E7" s="26" t="s">
        <v>65</v>
      </c>
      <c r="F7" s="28">
        <v>1.95</v>
      </c>
      <c r="G7" s="29">
        <v>2014</v>
      </c>
      <c r="I7" s="30">
        <f t="shared" si="0"/>
        <v>1.95</v>
      </c>
      <c r="J7" s="30">
        <f t="shared" si="0"/>
        <v>1.95</v>
      </c>
      <c r="K7" s="30">
        <f t="shared" si="0"/>
        <v>1.95</v>
      </c>
      <c r="L7" s="30">
        <f t="shared" si="0"/>
        <v>1.95</v>
      </c>
      <c r="M7" s="30">
        <f t="shared" si="0"/>
        <v>1.95</v>
      </c>
    </row>
    <row r="8" spans="1:13" ht="12.75">
      <c r="A8" s="25">
        <v>4</v>
      </c>
      <c r="B8" s="20" t="s">
        <v>381</v>
      </c>
      <c r="C8" s="21" t="s">
        <v>46</v>
      </c>
      <c r="D8" s="21" t="s">
        <v>80</v>
      </c>
      <c r="E8" s="26" t="s">
        <v>65</v>
      </c>
      <c r="F8" s="32">
        <v>8</v>
      </c>
      <c r="G8" s="33">
        <v>2013</v>
      </c>
      <c r="I8" s="30">
        <f t="shared" si="0"/>
        <v>8</v>
      </c>
      <c r="J8" s="30">
        <f t="shared" si="0"/>
        <v>8</v>
      </c>
      <c r="K8" s="30">
        <f t="shared" si="0"/>
        <v>8</v>
      </c>
      <c r="L8" s="30">
        <f t="shared" si="0"/>
        <v>8</v>
      </c>
      <c r="M8" s="30">
        <f t="shared" si="0"/>
        <v>0</v>
      </c>
    </row>
    <row r="9" spans="1:13" ht="12.75">
      <c r="A9" s="25">
        <v>5</v>
      </c>
      <c r="B9" s="20" t="s">
        <v>382</v>
      </c>
      <c r="C9" s="21" t="s">
        <v>51</v>
      </c>
      <c r="D9" s="21" t="s">
        <v>98</v>
      </c>
      <c r="E9" s="26" t="s">
        <v>65</v>
      </c>
      <c r="F9" s="28">
        <v>1.8</v>
      </c>
      <c r="G9" s="29">
        <v>2013</v>
      </c>
      <c r="I9" s="30">
        <f t="shared" si="0"/>
        <v>1.8</v>
      </c>
      <c r="J9" s="30">
        <f t="shared" si="0"/>
        <v>1.8</v>
      </c>
      <c r="K9" s="30">
        <f t="shared" si="0"/>
        <v>1.8</v>
      </c>
      <c r="L9" s="30">
        <f t="shared" si="0"/>
        <v>1.8</v>
      </c>
      <c r="M9" s="30">
        <f t="shared" si="0"/>
        <v>0</v>
      </c>
    </row>
    <row r="10" spans="1:13" ht="12.75">
      <c r="A10" s="25">
        <v>6</v>
      </c>
      <c r="B10" s="20" t="s">
        <v>589</v>
      </c>
      <c r="C10" s="21" t="s">
        <v>46</v>
      </c>
      <c r="D10" s="21" t="s">
        <v>131</v>
      </c>
      <c r="E10" s="26" t="s">
        <v>65</v>
      </c>
      <c r="F10" s="28">
        <v>18.2</v>
      </c>
      <c r="G10" s="31">
        <v>2012</v>
      </c>
      <c r="I10" s="30">
        <f t="shared" si="0"/>
        <v>18.2</v>
      </c>
      <c r="J10" s="30">
        <f t="shared" si="0"/>
        <v>18.2</v>
      </c>
      <c r="K10" s="30">
        <f t="shared" si="0"/>
        <v>18.2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473</v>
      </c>
      <c r="C11" s="21" t="s">
        <v>49</v>
      </c>
      <c r="D11" s="21" t="s">
        <v>97</v>
      </c>
      <c r="E11" s="26" t="s">
        <v>65</v>
      </c>
      <c r="F11" s="28">
        <v>6</v>
      </c>
      <c r="G11" s="29">
        <v>2012</v>
      </c>
      <c r="I11" s="30">
        <f t="shared" si="0"/>
        <v>6</v>
      </c>
      <c r="J11" s="30">
        <f t="shared" si="0"/>
        <v>6</v>
      </c>
      <c r="K11" s="30">
        <f t="shared" si="0"/>
        <v>6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199</v>
      </c>
      <c r="C12" s="21" t="s">
        <v>47</v>
      </c>
      <c r="D12" s="21" t="s">
        <v>97</v>
      </c>
      <c r="E12" s="26" t="s">
        <v>65</v>
      </c>
      <c r="F12" s="28">
        <v>5.65</v>
      </c>
      <c r="G12" s="31">
        <v>2012</v>
      </c>
      <c r="I12" s="30">
        <f t="shared" si="0"/>
        <v>5.65</v>
      </c>
      <c r="J12" s="30">
        <f t="shared" si="0"/>
        <v>5.65</v>
      </c>
      <c r="K12" s="30">
        <f t="shared" si="0"/>
        <v>5.65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583</v>
      </c>
      <c r="C13" s="21" t="s">
        <v>50</v>
      </c>
      <c r="D13" s="21" t="s">
        <v>123</v>
      </c>
      <c r="E13" s="26" t="s">
        <v>65</v>
      </c>
      <c r="F13" s="32">
        <v>2.45</v>
      </c>
      <c r="G13" s="33">
        <v>2012</v>
      </c>
      <c r="I13" s="30">
        <f t="shared" si="0"/>
        <v>2.45</v>
      </c>
      <c r="J13" s="30">
        <f t="shared" si="0"/>
        <v>2.45</v>
      </c>
      <c r="K13" s="30">
        <f t="shared" si="0"/>
        <v>2.45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201</v>
      </c>
      <c r="C14" s="21" t="s">
        <v>48</v>
      </c>
      <c r="D14" s="21" t="s">
        <v>86</v>
      </c>
      <c r="E14" s="26" t="s">
        <v>65</v>
      </c>
      <c r="F14" s="32">
        <v>1.65</v>
      </c>
      <c r="G14" s="21">
        <v>2012</v>
      </c>
      <c r="I14" s="30">
        <f t="shared" si="0"/>
        <v>1.65</v>
      </c>
      <c r="J14" s="30">
        <f t="shared" si="0"/>
        <v>1.65</v>
      </c>
      <c r="K14" s="30">
        <f t="shared" si="0"/>
        <v>1.65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202</v>
      </c>
      <c r="C15" s="21" t="s">
        <v>51</v>
      </c>
      <c r="D15" s="21" t="s">
        <v>92</v>
      </c>
      <c r="E15" s="26" t="s">
        <v>65</v>
      </c>
      <c r="F15" s="28">
        <v>8.65</v>
      </c>
      <c r="G15" s="29">
        <v>2011</v>
      </c>
      <c r="I15" s="30">
        <f aca="true" t="shared" si="1" ref="I15:M29">+IF($G15&gt;=I$3,$F15,0)</f>
        <v>8.65</v>
      </c>
      <c r="J15" s="30">
        <f t="shared" si="1"/>
        <v>8.65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633</v>
      </c>
      <c r="C16" s="21" t="s">
        <v>48</v>
      </c>
      <c r="D16" s="21" t="s">
        <v>78</v>
      </c>
      <c r="E16" s="26" t="s">
        <v>65</v>
      </c>
      <c r="F16" s="28">
        <v>8.3</v>
      </c>
      <c r="G16" s="29">
        <v>2011</v>
      </c>
      <c r="I16" s="30">
        <f t="shared" si="1"/>
        <v>8.3</v>
      </c>
      <c r="J16" s="30">
        <f t="shared" si="1"/>
        <v>8.3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590</v>
      </c>
      <c r="C17" s="21" t="s">
        <v>47</v>
      </c>
      <c r="D17" s="21" t="s">
        <v>131</v>
      </c>
      <c r="E17" s="26" t="s">
        <v>65</v>
      </c>
      <c r="F17" s="28">
        <v>7</v>
      </c>
      <c r="G17" s="29">
        <v>2011</v>
      </c>
      <c r="I17" s="30">
        <f t="shared" si="1"/>
        <v>7</v>
      </c>
      <c r="J17" s="30">
        <f t="shared" si="1"/>
        <v>7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204</v>
      </c>
      <c r="C18" s="21" t="s">
        <v>51</v>
      </c>
      <c r="D18" s="21" t="s">
        <v>69</v>
      </c>
      <c r="E18" s="26" t="s">
        <v>65</v>
      </c>
      <c r="F18" s="32">
        <v>6.3</v>
      </c>
      <c r="G18" s="29">
        <v>2011</v>
      </c>
      <c r="I18" s="30">
        <f t="shared" si="1"/>
        <v>6.3</v>
      </c>
      <c r="J18" s="30">
        <f t="shared" si="1"/>
        <v>6.3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433</v>
      </c>
      <c r="C19" s="21" t="s">
        <v>52</v>
      </c>
      <c r="D19" s="21" t="s">
        <v>64</v>
      </c>
      <c r="E19" s="26" t="s">
        <v>65</v>
      </c>
      <c r="F19" s="32">
        <v>3.15</v>
      </c>
      <c r="G19" s="21">
        <v>2011</v>
      </c>
      <c r="I19" s="30">
        <f t="shared" si="1"/>
        <v>3.15</v>
      </c>
      <c r="J19" s="30">
        <f t="shared" si="1"/>
        <v>3.15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588</v>
      </c>
      <c r="C20" s="21" t="s">
        <v>51</v>
      </c>
      <c r="D20" s="21" t="s">
        <v>80</v>
      </c>
      <c r="E20" s="21" t="s">
        <v>65</v>
      </c>
      <c r="F20" s="32">
        <v>2.75</v>
      </c>
      <c r="G20" s="33">
        <v>2011</v>
      </c>
      <c r="I20" s="30">
        <f t="shared" si="1"/>
        <v>2.75</v>
      </c>
      <c r="J20" s="30">
        <f t="shared" si="1"/>
        <v>2.75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632</v>
      </c>
      <c r="C21" s="21" t="s">
        <v>52</v>
      </c>
      <c r="D21" s="21" t="s">
        <v>123</v>
      </c>
      <c r="E21" s="26" t="s">
        <v>65</v>
      </c>
      <c r="F21" s="28">
        <v>2.2</v>
      </c>
      <c r="G21" s="31">
        <v>2011</v>
      </c>
      <c r="I21" s="30">
        <f t="shared" si="1"/>
        <v>2.2</v>
      </c>
      <c r="J21" s="30">
        <f t="shared" si="1"/>
        <v>2.2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434</v>
      </c>
      <c r="C22" s="21" t="s">
        <v>52</v>
      </c>
      <c r="D22" s="21" t="s">
        <v>98</v>
      </c>
      <c r="E22" s="26" t="s">
        <v>65</v>
      </c>
      <c r="F22" s="28">
        <v>1.8</v>
      </c>
      <c r="G22" s="29">
        <v>2011</v>
      </c>
      <c r="I22" s="30">
        <f t="shared" si="1"/>
        <v>1.8</v>
      </c>
      <c r="J22" s="30">
        <f t="shared" si="1"/>
        <v>1.8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205</v>
      </c>
      <c r="C23" s="21" t="s">
        <v>52</v>
      </c>
      <c r="D23" s="21" t="s">
        <v>132</v>
      </c>
      <c r="E23" s="26" t="s">
        <v>65</v>
      </c>
      <c r="F23" s="32">
        <v>1.5</v>
      </c>
      <c r="G23" s="29">
        <v>2011</v>
      </c>
      <c r="I23" s="30">
        <f t="shared" si="1"/>
        <v>1.5</v>
      </c>
      <c r="J23" s="30">
        <f t="shared" si="1"/>
        <v>1.5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7" t="s">
        <v>604</v>
      </c>
      <c r="C24" s="21" t="s">
        <v>48</v>
      </c>
      <c r="D24" s="21" t="s">
        <v>80</v>
      </c>
      <c r="E24" s="26" t="s">
        <v>65</v>
      </c>
      <c r="F24" s="28">
        <v>24.75</v>
      </c>
      <c r="G24" s="29">
        <v>2010</v>
      </c>
      <c r="I24" s="30">
        <f t="shared" si="1"/>
        <v>24.75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206</v>
      </c>
      <c r="C25" s="21" t="s">
        <v>48</v>
      </c>
      <c r="D25" s="21" t="s">
        <v>132</v>
      </c>
      <c r="E25" s="26" t="s">
        <v>65</v>
      </c>
      <c r="F25" s="28">
        <v>24</v>
      </c>
      <c r="G25" s="29">
        <v>2010</v>
      </c>
      <c r="I25" s="30">
        <f t="shared" si="1"/>
        <v>24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209</v>
      </c>
      <c r="C26" s="21" t="s">
        <v>49</v>
      </c>
      <c r="D26" s="21" t="s">
        <v>124</v>
      </c>
      <c r="E26" s="26" t="s">
        <v>65</v>
      </c>
      <c r="F26" s="28">
        <v>3.5</v>
      </c>
      <c r="G26" s="29">
        <v>2010</v>
      </c>
      <c r="I26" s="30">
        <f t="shared" si="1"/>
        <v>3.5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796</v>
      </c>
      <c r="C27" s="21" t="s">
        <v>50</v>
      </c>
      <c r="D27" s="21" t="s">
        <v>123</v>
      </c>
      <c r="E27" s="26" t="s">
        <v>65</v>
      </c>
      <c r="F27" s="28">
        <v>1.95</v>
      </c>
      <c r="G27" s="29">
        <v>2010</v>
      </c>
      <c r="I27" s="30">
        <f t="shared" si="1"/>
        <v>1.95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739</v>
      </c>
      <c r="C28" s="21" t="s">
        <v>47</v>
      </c>
      <c r="D28" s="21" t="s">
        <v>78</v>
      </c>
      <c r="E28" s="21" t="s">
        <v>65</v>
      </c>
      <c r="F28" s="32">
        <v>1.95</v>
      </c>
      <c r="G28" s="33">
        <v>2010</v>
      </c>
      <c r="I28" s="30">
        <f t="shared" si="1"/>
        <v>1.95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210</v>
      </c>
      <c r="C29" s="21" t="s">
        <v>51</v>
      </c>
      <c r="D29" s="21" t="s">
        <v>113</v>
      </c>
      <c r="E29" s="26" t="s">
        <v>65</v>
      </c>
      <c r="F29" s="28">
        <v>1.35</v>
      </c>
      <c r="G29" s="29">
        <v>2010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7"/>
      <c r="C31" s="51"/>
      <c r="D31" s="51"/>
      <c r="E31" s="54"/>
      <c r="F31" s="55"/>
      <c r="G31" s="56"/>
      <c r="I31" s="36">
        <f>+SUM(I5:I29)</f>
        <v>156.49999999999997</v>
      </c>
      <c r="J31" s="36">
        <f>+SUM(J5:J29)</f>
        <v>99</v>
      </c>
      <c r="K31" s="36">
        <f>+SUM(K5:K29)</f>
        <v>57.349999999999994</v>
      </c>
      <c r="L31" s="36">
        <f>+SUM(L5:L29)</f>
        <v>23.4</v>
      </c>
      <c r="M31" s="36">
        <f>+SUM(M5:M29)</f>
        <v>13.599999999999998</v>
      </c>
    </row>
    <row r="33" spans="1:13" ht="15.75">
      <c r="A33" s="61" t="s">
        <v>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ht="7.5" customHeight="1"/>
    <row r="35" spans="2:13" ht="12.75">
      <c r="B35" s="22" t="s">
        <v>59</v>
      </c>
      <c r="C35" s="23" t="s">
        <v>60</v>
      </c>
      <c r="D35" s="23" t="s">
        <v>1</v>
      </c>
      <c r="E35" s="23" t="s">
        <v>94</v>
      </c>
      <c r="F35" s="23" t="s">
        <v>10</v>
      </c>
      <c r="G35" s="23" t="s">
        <v>62</v>
      </c>
      <c r="I35" s="24">
        <f>+I$3</f>
        <v>2010</v>
      </c>
      <c r="J35" s="24">
        <f>+J$3</f>
        <v>2011</v>
      </c>
      <c r="K35" s="24">
        <f>+K$3</f>
        <v>2012</v>
      </c>
      <c r="L35" s="24">
        <f>+L$3</f>
        <v>2013</v>
      </c>
      <c r="M35" s="24">
        <f>+M$3</f>
        <v>2014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200</v>
      </c>
      <c r="C37" s="21" t="s">
        <v>48</v>
      </c>
      <c r="D37" s="21" t="s">
        <v>87</v>
      </c>
      <c r="E37" s="26">
        <v>2008</v>
      </c>
      <c r="F37" s="32">
        <v>2.9</v>
      </c>
      <c r="G37" s="33">
        <v>2012</v>
      </c>
      <c r="I37" s="30">
        <f aca="true" t="shared" si="2" ref="I37:I46">+CEILING(IF($I$35=E37,F37,IF($I$35&lt;=G37,F37*0.3,0)),0.05)</f>
        <v>0.9</v>
      </c>
      <c r="J37" s="30">
        <f aca="true" t="shared" si="3" ref="J37:J46">+CEILING(IF($J$35&lt;=G37,F37*0.3,0),0.05)</f>
        <v>0.9</v>
      </c>
      <c r="K37" s="30">
        <f aca="true" t="shared" si="4" ref="K37:K46">+CEILING(IF($K$35&lt;=G37,F37*0.3,0),0.05)</f>
        <v>0.9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412</v>
      </c>
      <c r="C38" s="21" t="s">
        <v>47</v>
      </c>
      <c r="D38" s="21" t="s">
        <v>87</v>
      </c>
      <c r="E38" s="26">
        <v>2009</v>
      </c>
      <c r="F38" s="28">
        <v>28.75</v>
      </c>
      <c r="G38" s="29">
        <v>2011</v>
      </c>
      <c r="I38" s="30">
        <f t="shared" si="2"/>
        <v>8.65</v>
      </c>
      <c r="J38" s="30">
        <f t="shared" si="3"/>
        <v>8.65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212</v>
      </c>
      <c r="C39" s="21" t="s">
        <v>47</v>
      </c>
      <c r="D39" s="21" t="s">
        <v>73</v>
      </c>
      <c r="E39" s="26">
        <v>2008</v>
      </c>
      <c r="F39" s="28">
        <v>7.3</v>
      </c>
      <c r="G39" s="29">
        <v>2011</v>
      </c>
      <c r="I39" s="30">
        <f t="shared" si="2"/>
        <v>2.2</v>
      </c>
      <c r="J39" s="30">
        <f t="shared" si="3"/>
        <v>2.2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203</v>
      </c>
      <c r="C40" s="21" t="s">
        <v>47</v>
      </c>
      <c r="D40" s="21" t="s">
        <v>123</v>
      </c>
      <c r="E40" s="26">
        <v>2008</v>
      </c>
      <c r="F40" s="28">
        <v>7.25</v>
      </c>
      <c r="G40" s="29">
        <v>2011</v>
      </c>
      <c r="I40" s="30">
        <f t="shared" si="2"/>
        <v>2.2</v>
      </c>
      <c r="J40" s="30">
        <f t="shared" si="3"/>
        <v>2.2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485</v>
      </c>
      <c r="C41" s="21" t="s">
        <v>48</v>
      </c>
      <c r="D41" s="21" t="s">
        <v>90</v>
      </c>
      <c r="E41" s="26">
        <v>2009</v>
      </c>
      <c r="F41" s="28">
        <v>1.8</v>
      </c>
      <c r="G41" s="29">
        <v>2011</v>
      </c>
      <c r="I41" s="30">
        <f t="shared" si="2"/>
        <v>0.55</v>
      </c>
      <c r="J41" s="30">
        <f t="shared" si="3"/>
        <v>0.55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207</v>
      </c>
      <c r="C42" s="21" t="s">
        <v>46</v>
      </c>
      <c r="D42" s="21" t="s">
        <v>87</v>
      </c>
      <c r="E42" s="26">
        <v>2009</v>
      </c>
      <c r="F42" s="32">
        <v>23.85</v>
      </c>
      <c r="G42" s="33">
        <v>2010</v>
      </c>
      <c r="I42" s="30">
        <f t="shared" si="2"/>
        <v>7.2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84</v>
      </c>
      <c r="C43" s="21" t="s">
        <v>47</v>
      </c>
      <c r="D43" s="21" t="s">
        <v>85</v>
      </c>
      <c r="E43" s="26">
        <v>2009</v>
      </c>
      <c r="F43" s="32">
        <v>11.75</v>
      </c>
      <c r="G43" s="33">
        <v>2010</v>
      </c>
      <c r="I43" s="30">
        <f t="shared" si="2"/>
        <v>3.5500000000000003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446</v>
      </c>
      <c r="C44" s="21" t="s">
        <v>48</v>
      </c>
      <c r="D44" s="21" t="s">
        <v>64</v>
      </c>
      <c r="E44" s="26">
        <v>2009</v>
      </c>
      <c r="F44" s="28">
        <v>8.5</v>
      </c>
      <c r="G44" s="31">
        <v>2010</v>
      </c>
      <c r="I44" s="30">
        <f t="shared" si="2"/>
        <v>2.5500000000000003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208</v>
      </c>
      <c r="C45" s="21" t="s">
        <v>52</v>
      </c>
      <c r="D45" s="21" t="s">
        <v>87</v>
      </c>
      <c r="E45" s="26">
        <v>2009</v>
      </c>
      <c r="F45" s="28">
        <v>4.1</v>
      </c>
      <c r="G45" s="29">
        <v>2010</v>
      </c>
      <c r="I45" s="30">
        <f t="shared" si="2"/>
        <v>1.25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642</v>
      </c>
      <c r="C46" s="21" t="s">
        <v>48</v>
      </c>
      <c r="D46" s="21" t="s">
        <v>83</v>
      </c>
      <c r="E46" s="21">
        <v>2010</v>
      </c>
      <c r="F46" s="32">
        <v>1.95</v>
      </c>
      <c r="G46" s="33">
        <v>2010</v>
      </c>
      <c r="I46" s="30">
        <f t="shared" si="2"/>
        <v>1.9500000000000002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338</v>
      </c>
      <c r="C47" s="21" t="s">
        <v>48</v>
      </c>
      <c r="D47" s="21" t="s">
        <v>99</v>
      </c>
      <c r="E47" s="26">
        <v>2010</v>
      </c>
      <c r="F47" s="28">
        <v>1.95</v>
      </c>
      <c r="G47" s="29">
        <v>2010</v>
      </c>
      <c r="I47" s="30">
        <f>+CEILING(IF($I$35=E47,F47,IF($I$35&lt;=G47,F47*0.3,0)),0.05)</f>
        <v>1.9500000000000002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20" t="s">
        <v>185</v>
      </c>
      <c r="C48" s="21" t="s">
        <v>48</v>
      </c>
      <c r="D48" s="21" t="s">
        <v>123</v>
      </c>
      <c r="E48" s="26">
        <v>2008</v>
      </c>
      <c r="F48" s="28">
        <v>1.9</v>
      </c>
      <c r="G48" s="29">
        <v>2010</v>
      </c>
      <c r="I48" s="30">
        <f>+CEILING(IF($I$35=E48,F48,IF($I$35&lt;=G48,F48*0.3,0)),0.05)</f>
        <v>0.6000000000000001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1:13" ht="12.75">
      <c r="A49" s="25">
        <v>13</v>
      </c>
      <c r="B49" s="20" t="s">
        <v>464</v>
      </c>
      <c r="C49" s="21" t="s">
        <v>46</v>
      </c>
      <c r="D49" s="21" t="s">
        <v>87</v>
      </c>
      <c r="E49" s="26">
        <v>2010</v>
      </c>
      <c r="F49" s="28">
        <v>1.8</v>
      </c>
      <c r="G49" s="31">
        <v>2010</v>
      </c>
      <c r="I49" s="30">
        <f>+CEILING(IF($I$35=E49,F49,IF($I$35&lt;=G49,F49*0.3,0)),0.05)</f>
        <v>1.8</v>
      </c>
      <c r="J49" s="30">
        <f>+CEILING(IF($J$35&lt;=G49,F49*0.3,0),0.05)</f>
        <v>0</v>
      </c>
      <c r="K49" s="30">
        <f>+CEILING(IF($K$35&lt;=G49,F49*0.3,0),0.05)</f>
        <v>0</v>
      </c>
      <c r="L49" s="30">
        <f>+CEILING(IF($L$35&lt;=G49,F49*0.3,0),0.05)</f>
        <v>0</v>
      </c>
      <c r="M49" s="30">
        <f>CEILING(IF($M$35&lt;=G49,F49*0.3,0),0.05)</f>
        <v>0</v>
      </c>
    </row>
    <row r="50" spans="1:13" ht="12.75">
      <c r="A50" s="25">
        <v>14</v>
      </c>
      <c r="B50" s="34" t="s">
        <v>211</v>
      </c>
      <c r="C50" s="21" t="s">
        <v>49</v>
      </c>
      <c r="D50" s="21" t="s">
        <v>67</v>
      </c>
      <c r="E50" s="26">
        <v>2008</v>
      </c>
      <c r="F50" s="28">
        <v>1.35</v>
      </c>
      <c r="G50" s="29">
        <v>2010</v>
      </c>
      <c r="I50" s="30">
        <f>+CEILING(IF($I$35=E50,F50,IF($I$35&lt;=G50,F50*0.3,0)),0.05)</f>
        <v>0.45</v>
      </c>
      <c r="J50" s="30">
        <f>+CEILING(IF($J$35&lt;=G50,F50*0.3,0),0.05)</f>
        <v>0</v>
      </c>
      <c r="K50" s="30">
        <f>+CEILING(IF($K$35&lt;=G50,F50*0.3,0),0.05)</f>
        <v>0</v>
      </c>
      <c r="L50" s="30">
        <f>+CEILING(IF($L$35&lt;=G50,F50*0.3,0),0.05)</f>
        <v>0</v>
      </c>
      <c r="M50" s="30">
        <f>CEILING(IF($M$35&lt;=G50,F50*0.3,0),0.05)</f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35.800000000000004</v>
      </c>
      <c r="J52" s="36">
        <f>+SUM(J37:J51)</f>
        <v>14.5</v>
      </c>
      <c r="K52" s="36">
        <f>+SUM(K37:K51)</f>
        <v>0.9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61" t="s">
        <v>104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105</v>
      </c>
      <c r="C56" s="23"/>
      <c r="D56" s="23"/>
      <c r="E56" s="23"/>
      <c r="F56" s="23" t="s">
        <v>106</v>
      </c>
      <c r="G56" s="23" t="s">
        <v>27</v>
      </c>
      <c r="I56" s="24">
        <f>+I$3</f>
        <v>2010</v>
      </c>
      <c r="J56" s="24">
        <f>+J$3</f>
        <v>2011</v>
      </c>
      <c r="K56" s="24">
        <f>+K$3</f>
        <v>2012</v>
      </c>
      <c r="L56" s="24">
        <f>+L$3</f>
        <v>2013</v>
      </c>
      <c r="M56" s="24">
        <f>+M$3</f>
        <v>2014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9"/>
      <c r="C58" s="59"/>
      <c r="D58" s="59"/>
      <c r="E58" s="59"/>
      <c r="F58" s="27"/>
      <c r="G58" s="21"/>
      <c r="I58" s="39">
        <f>+F58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9"/>
      <c r="C59" s="59"/>
      <c r="D59" s="59"/>
      <c r="E59" s="59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2014-11-15T23:54:58Z</dcterms:modified>
  <cp:category/>
  <cp:version/>
  <cp:contentType/>
  <cp:contentStatus/>
</cp:coreProperties>
</file>